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RRENTE\FILIPPO\DATA\SCUOLE DI SERVIZIO\I.I.S. L.C.-Ist. Arte di Cetraro\CETRARO ANNO 2017.18\FIS 2017.18\"/>
    </mc:Choice>
  </mc:AlternateContent>
  <xr:revisionPtr revIDLastSave="0" documentId="8_{F92818C2-24B4-4E92-A78F-65AC402FC401}" xr6:coauthVersionLast="36" xr6:coauthVersionMax="36" xr10:uidLastSave="{00000000-0000-0000-0000-000000000000}"/>
  <bookViews>
    <workbookView xWindow="0" yWindow="0" windowWidth="28800" windowHeight="12225" xr2:uid="{CFE30C34-186A-446D-86EF-EB2A2D43E0CF}"/>
  </bookViews>
  <sheets>
    <sheet name="RIEPILOGO" sheetId="1" r:id="rId1"/>
  </sheets>
  <externalReferences>
    <externalReference r:id="rId2"/>
  </externalReferences>
  <definedNames>
    <definedName name="_xlnm.Print_Area" localSheetId="0">RIEPILOGO!$A$2:$L$69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5" i="1" l="1"/>
  <c r="L65" i="1" s="1"/>
  <c r="H65" i="1"/>
  <c r="H64" i="1"/>
  <c r="J64" i="1" s="1"/>
  <c r="L64" i="1" s="1"/>
  <c r="D64" i="1"/>
  <c r="H63" i="1"/>
  <c r="K61" i="1"/>
  <c r="G61" i="1"/>
  <c r="F61" i="1"/>
  <c r="E61" i="1"/>
  <c r="D61" i="1"/>
  <c r="C61" i="1"/>
  <c r="B61" i="1"/>
  <c r="H60" i="1"/>
  <c r="H59" i="1"/>
  <c r="H61" i="1" s="1"/>
  <c r="H57" i="1"/>
  <c r="H55" i="1"/>
  <c r="F54" i="1"/>
  <c r="F56" i="1" s="1"/>
  <c r="F58" i="1" s="1"/>
  <c r="F62" i="1" s="1"/>
  <c r="F66" i="1" s="1"/>
  <c r="E54" i="1"/>
  <c r="E56" i="1" s="1"/>
  <c r="E58" i="1" s="1"/>
  <c r="E62" i="1" s="1"/>
  <c r="E66" i="1" s="1"/>
  <c r="H53" i="1"/>
  <c r="J53" i="1" s="1"/>
  <c r="L53" i="1" s="1"/>
  <c r="C52" i="1"/>
  <c r="H52" i="1" s="1"/>
  <c r="G51" i="1"/>
  <c r="G54" i="1" s="1"/>
  <c r="G56" i="1" s="1"/>
  <c r="G58" i="1" s="1"/>
  <c r="G62" i="1" s="1"/>
  <c r="G66" i="1" s="1"/>
  <c r="D51" i="1"/>
  <c r="D54" i="1" s="1"/>
  <c r="D56" i="1" s="1"/>
  <c r="D58" i="1" s="1"/>
  <c r="D62" i="1" s="1"/>
  <c r="D66" i="1" s="1"/>
  <c r="H50" i="1"/>
  <c r="J50" i="1" s="1"/>
  <c r="L50" i="1" s="1"/>
  <c r="H49" i="1"/>
  <c r="C49" i="1"/>
  <c r="B49" i="1"/>
  <c r="K48" i="1"/>
  <c r="K51" i="1" s="1"/>
  <c r="K54" i="1" s="1"/>
  <c r="K56" i="1" s="1"/>
  <c r="K58" i="1" s="1"/>
  <c r="K62" i="1" s="1"/>
  <c r="K66" i="1" s="1"/>
  <c r="C48" i="1"/>
  <c r="C51" i="1" s="1"/>
  <c r="C54" i="1" s="1"/>
  <c r="C56" i="1" s="1"/>
  <c r="C58" i="1" s="1"/>
  <c r="C62" i="1" s="1"/>
  <c r="C66" i="1" s="1"/>
  <c r="B48" i="1"/>
  <c r="B51" i="1" s="1"/>
  <c r="B54" i="1" s="1"/>
  <c r="B56" i="1" s="1"/>
  <c r="B58" i="1" s="1"/>
  <c r="B62" i="1" s="1"/>
  <c r="B66" i="1" s="1"/>
  <c r="K41" i="1"/>
  <c r="J41" i="1"/>
  <c r="I41" i="1"/>
  <c r="H41" i="1"/>
  <c r="G41" i="1"/>
  <c r="F41" i="1"/>
  <c r="E41" i="1"/>
  <c r="L41" i="1" s="1"/>
  <c r="A41" i="1"/>
  <c r="J40" i="1"/>
  <c r="I40" i="1"/>
  <c r="H40" i="1"/>
  <c r="G40" i="1"/>
  <c r="F40" i="1"/>
  <c r="E40" i="1"/>
  <c r="L40" i="1" s="1"/>
  <c r="A40" i="1"/>
  <c r="J39" i="1"/>
  <c r="I39" i="1"/>
  <c r="H39" i="1"/>
  <c r="G39" i="1"/>
  <c r="F39" i="1"/>
  <c r="E39" i="1"/>
  <c r="L39" i="1" s="1"/>
  <c r="A39" i="1"/>
  <c r="J38" i="1"/>
  <c r="I38" i="1"/>
  <c r="H38" i="1"/>
  <c r="G38" i="1"/>
  <c r="F38" i="1"/>
  <c r="E38" i="1"/>
  <c r="L38" i="1" s="1"/>
  <c r="A38" i="1"/>
  <c r="J37" i="1"/>
  <c r="I37" i="1"/>
  <c r="H37" i="1"/>
  <c r="G37" i="1"/>
  <c r="F37" i="1"/>
  <c r="E37" i="1"/>
  <c r="I60" i="1" s="1"/>
  <c r="J60" i="1" s="1"/>
  <c r="L60" i="1" s="1"/>
  <c r="B37" i="1"/>
  <c r="A37" i="1"/>
  <c r="J36" i="1"/>
  <c r="I36" i="1"/>
  <c r="H36" i="1"/>
  <c r="G36" i="1"/>
  <c r="F36" i="1"/>
  <c r="E36" i="1"/>
  <c r="L36" i="1" s="1"/>
  <c r="C36" i="1"/>
  <c r="A36" i="1"/>
  <c r="K35" i="1"/>
  <c r="J35" i="1"/>
  <c r="I35" i="1"/>
  <c r="H35" i="1"/>
  <c r="G35" i="1"/>
  <c r="F35" i="1"/>
  <c r="E35" i="1"/>
  <c r="L35" i="1" s="1"/>
  <c r="A35" i="1"/>
  <c r="J34" i="1"/>
  <c r="I34" i="1"/>
  <c r="H34" i="1"/>
  <c r="G34" i="1"/>
  <c r="F34" i="1"/>
  <c r="E34" i="1"/>
  <c r="L34" i="1" s="1"/>
  <c r="D34" i="1"/>
  <c r="A34" i="1"/>
  <c r="J33" i="1"/>
  <c r="I33" i="1"/>
  <c r="H33" i="1"/>
  <c r="G33" i="1"/>
  <c r="F33" i="1"/>
  <c r="E33" i="1"/>
  <c r="L33" i="1" s="1"/>
  <c r="C33" i="1"/>
  <c r="A33" i="1"/>
  <c r="J32" i="1"/>
  <c r="I32" i="1"/>
  <c r="H32" i="1"/>
  <c r="G32" i="1"/>
  <c r="F32" i="1"/>
  <c r="E32" i="1"/>
  <c r="L32" i="1" s="1"/>
  <c r="C32" i="1"/>
  <c r="A32" i="1"/>
  <c r="J31" i="1"/>
  <c r="I31" i="1"/>
  <c r="H31" i="1"/>
  <c r="G31" i="1"/>
  <c r="F31" i="1"/>
  <c r="E31" i="1"/>
  <c r="L31" i="1" s="1"/>
  <c r="C31" i="1"/>
  <c r="A31" i="1"/>
  <c r="J30" i="1"/>
  <c r="I30" i="1"/>
  <c r="H30" i="1"/>
  <c r="G30" i="1"/>
  <c r="F30" i="1"/>
  <c r="E30" i="1"/>
  <c r="L30" i="1" s="1"/>
  <c r="C30" i="1"/>
  <c r="A30" i="1"/>
  <c r="J29" i="1"/>
  <c r="I29" i="1"/>
  <c r="H29" i="1"/>
  <c r="G29" i="1"/>
  <c r="F29" i="1"/>
  <c r="E29" i="1"/>
  <c r="L29" i="1" s="1"/>
  <c r="B29" i="1"/>
  <c r="A29" i="1"/>
  <c r="J28" i="1"/>
  <c r="I28" i="1"/>
  <c r="H28" i="1"/>
  <c r="G28" i="1"/>
  <c r="F28" i="1"/>
  <c r="E28" i="1"/>
  <c r="L28" i="1" s="1"/>
  <c r="D28" i="1"/>
  <c r="A28" i="1"/>
  <c r="J27" i="1"/>
  <c r="I27" i="1"/>
  <c r="H27" i="1"/>
  <c r="G27" i="1"/>
  <c r="F27" i="1"/>
  <c r="E27" i="1"/>
  <c r="I57" i="1" s="1"/>
  <c r="J57" i="1" s="1"/>
  <c r="L57" i="1" s="1"/>
  <c r="D27" i="1"/>
  <c r="A27" i="1"/>
  <c r="J26" i="1"/>
  <c r="I26" i="1"/>
  <c r="H26" i="1"/>
  <c r="G26" i="1"/>
  <c r="F26" i="1"/>
  <c r="E26" i="1"/>
  <c r="I55" i="1" s="1"/>
  <c r="C26" i="1"/>
  <c r="A26" i="1"/>
  <c r="K25" i="1"/>
  <c r="J25" i="1"/>
  <c r="I25" i="1"/>
  <c r="H25" i="1"/>
  <c r="G25" i="1"/>
  <c r="F25" i="1"/>
  <c r="E25" i="1"/>
  <c r="L25" i="1" s="1"/>
  <c r="B25" i="1"/>
  <c r="A25" i="1"/>
  <c r="J24" i="1"/>
  <c r="I24" i="1"/>
  <c r="H24" i="1"/>
  <c r="G24" i="1"/>
  <c r="F24" i="1"/>
  <c r="E24" i="1"/>
  <c r="L24" i="1" s="1"/>
  <c r="C24" i="1"/>
  <c r="A24" i="1"/>
  <c r="J23" i="1"/>
  <c r="I23" i="1"/>
  <c r="H23" i="1"/>
  <c r="G23" i="1"/>
  <c r="F23" i="1"/>
  <c r="E23" i="1"/>
  <c r="L23" i="1" s="1"/>
  <c r="B23" i="1"/>
  <c r="B42" i="1" s="1"/>
  <c r="A23" i="1"/>
  <c r="K22" i="1"/>
  <c r="J22" i="1"/>
  <c r="I22" i="1"/>
  <c r="H22" i="1"/>
  <c r="G22" i="1"/>
  <c r="F22" i="1"/>
  <c r="E22" i="1"/>
  <c r="L22" i="1" s="1"/>
  <c r="A22" i="1"/>
  <c r="L21" i="1"/>
  <c r="J21" i="1"/>
  <c r="I21" i="1"/>
  <c r="H21" i="1"/>
  <c r="G21" i="1"/>
  <c r="F21" i="1"/>
  <c r="E21" i="1"/>
  <c r="I63" i="1" s="1"/>
  <c r="A21" i="1"/>
  <c r="L20" i="1"/>
  <c r="J20" i="1"/>
  <c r="I20" i="1"/>
  <c r="H20" i="1"/>
  <c r="G20" i="1"/>
  <c r="F20" i="1"/>
  <c r="E20" i="1"/>
  <c r="C20" i="1"/>
  <c r="A20" i="1"/>
  <c r="K19" i="1"/>
  <c r="K42" i="1" s="1"/>
  <c r="G19" i="1"/>
  <c r="F19" i="1"/>
  <c r="E19" i="1"/>
  <c r="I52" i="1" s="1"/>
  <c r="A19" i="1"/>
  <c r="J18" i="1"/>
  <c r="I18" i="1"/>
  <c r="H18" i="1"/>
  <c r="G18" i="1"/>
  <c r="F18" i="1"/>
  <c r="E18" i="1"/>
  <c r="L18" i="1" s="1"/>
  <c r="C18" i="1"/>
  <c r="A18" i="1"/>
  <c r="L17" i="1"/>
  <c r="J17" i="1"/>
  <c r="I17" i="1"/>
  <c r="H17" i="1"/>
  <c r="G17" i="1"/>
  <c r="G42" i="1" s="1"/>
  <c r="F17" i="1"/>
  <c r="F42" i="1" s="1"/>
  <c r="E17" i="1"/>
  <c r="I48" i="1" s="1"/>
  <c r="C17" i="1"/>
  <c r="C42" i="1" s="1"/>
  <c r="A17" i="1"/>
  <c r="K16" i="1"/>
  <c r="J16" i="1"/>
  <c r="I16" i="1"/>
  <c r="H16" i="1"/>
  <c r="G16" i="1"/>
  <c r="F16" i="1"/>
  <c r="E16" i="1"/>
  <c r="C16" i="1"/>
  <c r="B16" i="1"/>
  <c r="A16" i="1"/>
  <c r="J52" i="1" l="1"/>
  <c r="L52" i="1" s="1"/>
  <c r="J55" i="1"/>
  <c r="L55" i="1" s="1"/>
  <c r="J63" i="1"/>
  <c r="L63" i="1" s="1"/>
  <c r="L26" i="1"/>
  <c r="L37" i="1"/>
  <c r="H48" i="1"/>
  <c r="I49" i="1"/>
  <c r="J49" i="1" s="1"/>
  <c r="L49" i="1" s="1"/>
  <c r="D19" i="1"/>
  <c r="D42" i="1" s="1"/>
  <c r="H19" i="1"/>
  <c r="L19" i="1"/>
  <c r="L42" i="1" s="1"/>
  <c r="M42" i="1" s="1"/>
  <c r="L27" i="1"/>
  <c r="E42" i="1"/>
  <c r="I59" i="1"/>
  <c r="D35" i="1"/>
  <c r="I19" i="1" l="1"/>
  <c r="I42" i="1" s="1"/>
  <c r="H42" i="1"/>
  <c r="I61" i="1"/>
  <c r="J59" i="1"/>
  <c r="I51" i="1"/>
  <c r="I54" i="1" s="1"/>
  <c r="I56" i="1" s="1"/>
  <c r="I58" i="1" s="1"/>
  <c r="H51" i="1"/>
  <c r="H54" i="1" s="1"/>
  <c r="H56" i="1" s="1"/>
  <c r="H58" i="1" s="1"/>
  <c r="H62" i="1" s="1"/>
  <c r="H66" i="1" s="1"/>
  <c r="J48" i="1"/>
  <c r="J51" i="1" l="1"/>
  <c r="J54" i="1" s="1"/>
  <c r="J56" i="1" s="1"/>
  <c r="L48" i="1"/>
  <c r="L51" i="1" s="1"/>
  <c r="L54" i="1" s="1"/>
  <c r="I62" i="1"/>
  <c r="I66" i="1" s="1"/>
  <c r="L59" i="1"/>
  <c r="J61" i="1"/>
  <c r="L61" i="1" s="1"/>
  <c r="J19" i="1"/>
  <c r="J42" i="1" s="1"/>
  <c r="J58" i="1" l="1"/>
  <c r="L56" i="1"/>
  <c r="J62" i="1" l="1"/>
  <c r="L58" i="1"/>
  <c r="J66" i="1" l="1"/>
  <c r="L62" i="1"/>
  <c r="L66" i="1" s="1"/>
</calcChain>
</file>

<file path=xl/sharedStrings.xml><?xml version="1.0" encoding="utf-8"?>
<sst xmlns="http://schemas.openxmlformats.org/spreadsheetml/2006/main" count="53" uniqueCount="48">
  <si>
    <t>I.I.S. "SILVIO LOPIANO"</t>
  </si>
  <si>
    <t>VIA MARINELLA</t>
  </si>
  <si>
    <t>CETRARO (CS)</t>
  </si>
  <si>
    <t>RIEPILOGO GENERALE LIQUIDAZIONE DELLE RISORSE MOF dell' A.S. 2017/18</t>
  </si>
  <si>
    <t>NOME PROGETTO/ATTIVITA'/TIPOLOGIA COMPENSO</t>
  </si>
  <si>
    <t xml:space="preserve">N° ORE FRONTALI RETRIBUITE </t>
  </si>
  <si>
    <t>N° ORE FUNZIONALI RETRIBUITE</t>
  </si>
  <si>
    <t>N° ORE STRAORD. ATA</t>
  </si>
  <si>
    <t>compenso lordo liquidato</t>
  </si>
  <si>
    <t>INPDAP  8,80 %</t>
  </si>
  <si>
    <t>F. CREDITO   0,35 %</t>
  </si>
  <si>
    <t>Imponibile Irpef</t>
  </si>
  <si>
    <t>IRPEF a debito</t>
  </si>
  <si>
    <t>Netto in busta</t>
  </si>
  <si>
    <t>importo lordo dipendente corrisposto</t>
  </si>
  <si>
    <t>residuo da corrispondere</t>
  </si>
  <si>
    <t>Elenco</t>
  </si>
  <si>
    <t>data</t>
  </si>
  <si>
    <t xml:space="preserve">17326949 + 17449244 </t>
  </si>
  <si>
    <t>22/11/2018 - 7/12/2018</t>
  </si>
  <si>
    <t xml:space="preserve">                            TOTALI</t>
  </si>
  <si>
    <t>Il Direttore dei Servizi Generali ed Amministrativi</t>
  </si>
  <si>
    <t>FILIPPO D'AMBROSIO</t>
  </si>
  <si>
    <t>I.I.S. "SILVIO LOPIANO" - CETRARO   -   PROSPETTO DELLE RISORSE MOF - A.S. 2017/18</t>
  </si>
  <si>
    <t>Economie da A.S. 2016/17</t>
  </si>
  <si>
    <t xml:space="preserve">Assegnazione come da avviso </t>
  </si>
  <si>
    <t xml:space="preserve">maggiori/minori economie  </t>
  </si>
  <si>
    <t>TOTALI</t>
  </si>
  <si>
    <t>SOMME SPESE autorizzate e da autorizzare in Sirgs</t>
  </si>
  <si>
    <t>ECONOMIE alla data del 11/10/2018</t>
  </si>
  <si>
    <t>Storno fondi assegnati e non caricati da Sirgs -correzione errori materiali - storno impegni non liquidati</t>
  </si>
  <si>
    <t>ECONOMIE SU RISORSE EFFETTIVAMENTE ASSEGNATE IN SIRGS alla data del 11/10/2018</t>
  </si>
  <si>
    <t>Compensi lordo dipendente ai docenti su FIS/MOF</t>
  </si>
  <si>
    <t>Compensi lordo dipendente agli ATA FIS/MOF</t>
  </si>
  <si>
    <t>FONDO DI RISERVA</t>
  </si>
  <si>
    <t xml:space="preserve">SUB TOT. </t>
  </si>
  <si>
    <t>Indennità direzione dsga</t>
  </si>
  <si>
    <t>Indennità direzione dsga SOSTITUZIONE</t>
  </si>
  <si>
    <t>Funzioni strumentali</t>
  </si>
  <si>
    <t>Incarichi specifici</t>
  </si>
  <si>
    <t>TOT. FIS/MOF</t>
  </si>
  <si>
    <t>Ore eccedenti pratica sportiva</t>
  </si>
  <si>
    <t>Ore eccedenti sost coll assenti</t>
  </si>
  <si>
    <t>TOT. O.E. SOST. E P.S.</t>
  </si>
  <si>
    <t>TOTALE DA AUTORIZZARE IN CEDOLINO UNICO A.S. 2017/18</t>
  </si>
  <si>
    <t>AREE A RISCHIO - 2015/16 - NOTA MIUR25390 DEL 13/12/2017</t>
  </si>
  <si>
    <t>VALORIZZAZIONE MERITO NOTAS MIUR 16048 DEL 3/8/18</t>
  </si>
  <si>
    <t>Cetraro, ………………..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</si>
</sst>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€&quot;\ * #,##0.00_-;\-&quot;€&quot;\ * #,##0.00_-;_-&quot;€&quot;\ * &quot;-&quot;??_-;_-@_-"/>
    <numFmt numFmtId="164" formatCode="_-[$€-2]\ * #,##0.00_-;\-[$€-2]\ * #,##0.00_-;_-[$€-2]\ * &quot;-&quot;??_-;_-@_-"/>
    <numFmt numFmtId="165" formatCode="_-[$€-410]\ * #,##0.00_-;\-[$€-410]\ * #,##0.00_-;_-[$€-410]\ * &quot;-&quot;??_-;_-@_-"/>
    <numFmt numFmtId="166" formatCode="_-* #,##0.00\ [$€-410]_-;\-* #,##0.00\ [$€-410]_-;_-* &quot;-&quot;??\ [$€-410]_-;_-@_-"/>
  </numFmts>
  <fonts count="15" x14ac:knownFonts="1">
    <font>
      <sz val="10"/>
      <name val="Arial"/>
    </font>
    <font>
      <b/>
      <sz val="20"/>
      <color rgb="FF000000"/>
      <name val="Arial"/>
      <family val="2"/>
    </font>
    <font>
      <sz val="2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0"/>
      <name val="Comic Sans MS"/>
      <family val="4"/>
    </font>
    <font>
      <b/>
      <sz val="8"/>
      <name val="Comic Sans MS"/>
      <family val="4"/>
    </font>
    <font>
      <b/>
      <sz val="14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42">
    <xf numFmtId="0" fontId="0" fillId="0" borderId="0" xfId="0"/>
    <xf numFmtId="0" fontId="1" fillId="0" borderId="0" xfId="0" applyFont="1" applyAlignment="1">
      <alignment horizontal="center" readingOrder="1"/>
    </xf>
    <xf numFmtId="0" fontId="2" fillId="0" borderId="0" xfId="0" applyFont="1" applyAlignment="1">
      <alignment readingOrder="1"/>
    </xf>
    <xf numFmtId="0" fontId="0" fillId="0" borderId="0" xfId="0" applyAlignment="1">
      <alignment wrapText="1"/>
    </xf>
    <xf numFmtId="0" fontId="2" fillId="0" borderId="0" xfId="0" applyFont="1" applyAlignme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  <xf numFmtId="0" fontId="5" fillId="0" borderId="4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4" xfId="0" applyFill="1" applyBorder="1" applyAlignment="1">
      <alignment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0" borderId="5" xfId="0" applyFont="1" applyBorder="1"/>
    <xf numFmtId="0" fontId="0" fillId="0" borderId="4" xfId="0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164" fontId="5" fillId="0" borderId="12" xfId="0" applyNumberFormat="1" applyFont="1" applyBorder="1"/>
    <xf numFmtId="164" fontId="5" fillId="0" borderId="13" xfId="0" applyNumberFormat="1" applyFont="1" applyBorder="1"/>
    <xf numFmtId="0" fontId="5" fillId="0" borderId="14" xfId="0" applyFont="1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9" fillId="0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center" vertical="center"/>
    </xf>
    <xf numFmtId="1" fontId="5" fillId="2" borderId="18" xfId="0" applyNumberFormat="1" applyFont="1" applyFill="1" applyBorder="1" applyAlignment="1">
      <alignment horizontal="center" vertical="center"/>
    </xf>
    <xf numFmtId="1" fontId="5" fillId="2" borderId="12" xfId="0" applyNumberFormat="1" applyFont="1" applyFill="1" applyBorder="1" applyAlignment="1">
      <alignment horizontal="center" vertical="center"/>
    </xf>
    <xf numFmtId="164" fontId="5" fillId="0" borderId="19" xfId="0" applyNumberFormat="1" applyFont="1" applyBorder="1"/>
    <xf numFmtId="164" fontId="5" fillId="0" borderId="20" xfId="0" applyNumberFormat="1" applyFont="1" applyBorder="1"/>
    <xf numFmtId="0" fontId="0" fillId="0" borderId="21" xfId="0" applyBorder="1" applyAlignment="1">
      <alignment wrapText="1"/>
    </xf>
    <xf numFmtId="14" fontId="0" fillId="0" borderId="22" xfId="0" applyNumberFormat="1" applyBorder="1" applyAlignment="1">
      <alignment wrapText="1"/>
    </xf>
    <xf numFmtId="164" fontId="5" fillId="0" borderId="18" xfId="0" applyNumberFormat="1" applyFont="1" applyBorder="1"/>
    <xf numFmtId="165" fontId="5" fillId="0" borderId="23" xfId="0" applyNumberFormat="1" applyFont="1" applyBorder="1"/>
    <xf numFmtId="0" fontId="5" fillId="0" borderId="17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165" fontId="5" fillId="0" borderId="24" xfId="0" applyNumberFormat="1" applyFont="1" applyBorder="1"/>
    <xf numFmtId="14" fontId="0" fillId="0" borderId="12" xfId="0" applyNumberFormat="1" applyBorder="1" applyAlignment="1">
      <alignment wrapText="1"/>
    </xf>
    <xf numFmtId="14" fontId="0" fillId="0" borderId="18" xfId="0" applyNumberFormat="1" applyBorder="1" applyAlignment="1">
      <alignment wrapText="1"/>
    </xf>
    <xf numFmtId="0" fontId="6" fillId="0" borderId="21" xfId="0" applyFont="1" applyBorder="1" applyAlignment="1">
      <alignment wrapText="1"/>
    </xf>
    <xf numFmtId="0" fontId="3" fillId="0" borderId="21" xfId="0" applyFont="1" applyBorder="1" applyAlignment="1">
      <alignment wrapText="1"/>
    </xf>
    <xf numFmtId="0" fontId="5" fillId="2" borderId="17" xfId="0" applyFont="1" applyFill="1" applyBorder="1" applyAlignment="1">
      <alignment horizontal="left" vertical="center" wrapText="1"/>
    </xf>
    <xf numFmtId="2" fontId="5" fillId="2" borderId="18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 wrapText="1"/>
    </xf>
    <xf numFmtId="0" fontId="0" fillId="0" borderId="18" xfId="0" applyBorder="1" applyAlignment="1">
      <alignment wrapText="1"/>
    </xf>
    <xf numFmtId="0" fontId="5" fillId="2" borderId="25" xfId="0" applyFont="1" applyFill="1" applyBorder="1" applyAlignment="1">
      <alignment horizontal="center" wrapText="1"/>
    </xf>
    <xf numFmtId="0" fontId="9" fillId="2" borderId="26" xfId="0" applyFont="1" applyFill="1" applyBorder="1" applyAlignment="1">
      <alignment horizontal="center" vertical="center"/>
    </xf>
    <xf numFmtId="1" fontId="9" fillId="2" borderId="26" xfId="0" applyNumberFormat="1" applyFont="1" applyFill="1" applyBorder="1" applyAlignment="1">
      <alignment horizontal="center" vertical="center"/>
    </xf>
    <xf numFmtId="165" fontId="9" fillId="2" borderId="26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wrapText="1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/>
    <xf numFmtId="0" fontId="10" fillId="0" borderId="0" xfId="0" applyFont="1" applyBorder="1"/>
    <xf numFmtId="0" fontId="10" fillId="0" borderId="0" xfId="0" applyFont="1" applyFill="1" applyBorder="1"/>
    <xf numFmtId="0" fontId="10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8" xfId="1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5" fontId="5" fillId="0" borderId="12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165" fontId="5" fillId="0" borderId="14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165" fontId="12" fillId="0" borderId="18" xfId="0" applyNumberFormat="1" applyFont="1" applyBorder="1" applyAlignment="1">
      <alignment horizontal="center" vertical="center"/>
    </xf>
    <xf numFmtId="165" fontId="5" fillId="0" borderId="18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165" fontId="9" fillId="0" borderId="1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165" fontId="14" fillId="0" borderId="18" xfId="1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165" fontId="13" fillId="0" borderId="0" xfId="0" applyNumberFormat="1" applyFont="1" applyAlignment="1">
      <alignment horizontal="center" vertical="center" wrapText="1"/>
    </xf>
    <xf numFmtId="165" fontId="9" fillId="0" borderId="20" xfId="0" applyNumberFormat="1" applyFont="1" applyBorder="1" applyAlignment="1">
      <alignment horizontal="center" vertical="center"/>
    </xf>
    <xf numFmtId="165" fontId="9" fillId="0" borderId="21" xfId="0" applyNumberFormat="1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44" fontId="12" fillId="0" borderId="18" xfId="0" applyNumberFormat="1" applyFont="1" applyBorder="1" applyAlignment="1">
      <alignment horizontal="center" vertical="center"/>
    </xf>
    <xf numFmtId="165" fontId="0" fillId="0" borderId="0" xfId="0" applyNumberFormat="1" applyAlignment="1">
      <alignment horizontal="center" vertical="center" wrapText="1"/>
    </xf>
    <xf numFmtId="164" fontId="5" fillId="0" borderId="18" xfId="0" applyNumberFormat="1" applyFont="1" applyBorder="1" applyAlignment="1">
      <alignment horizontal="center" vertical="center"/>
    </xf>
    <xf numFmtId="165" fontId="5" fillId="0" borderId="21" xfId="0" applyNumberFormat="1" applyFont="1" applyBorder="1" applyAlignment="1">
      <alignment horizontal="center" vertical="center"/>
    </xf>
    <xf numFmtId="164" fontId="5" fillId="0" borderId="21" xfId="0" applyNumberFormat="1" applyFont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/>
    </xf>
    <xf numFmtId="164" fontId="9" fillId="0" borderId="18" xfId="0" applyNumberFormat="1" applyFont="1" applyBorder="1" applyAlignment="1">
      <alignment horizontal="center" vertical="center"/>
    </xf>
    <xf numFmtId="164" fontId="9" fillId="0" borderId="19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165" fontId="9" fillId="0" borderId="28" xfId="0" applyNumberFormat="1" applyFont="1" applyBorder="1" applyAlignment="1">
      <alignment horizontal="center" vertical="center"/>
    </xf>
    <xf numFmtId="165" fontId="9" fillId="0" borderId="29" xfId="0" applyNumberFormat="1" applyFont="1" applyBorder="1" applyAlignment="1">
      <alignment horizontal="center" vertical="center"/>
    </xf>
    <xf numFmtId="165" fontId="9" fillId="0" borderId="30" xfId="0" applyNumberFormat="1" applyFont="1" applyBorder="1" applyAlignment="1">
      <alignment horizontal="center" vertical="center"/>
    </xf>
    <xf numFmtId="165" fontId="9" fillId="0" borderId="31" xfId="0" applyNumberFormat="1" applyFont="1" applyBorder="1" applyAlignment="1">
      <alignment horizontal="center" vertical="center"/>
    </xf>
    <xf numFmtId="165" fontId="9" fillId="0" borderId="32" xfId="0" applyNumberFormat="1" applyFont="1" applyBorder="1" applyAlignment="1">
      <alignment horizontal="center" vertical="center"/>
    </xf>
    <xf numFmtId="165" fontId="5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 wrapText="1"/>
    </xf>
    <xf numFmtId="165" fontId="9" fillId="0" borderId="33" xfId="0" applyNumberFormat="1" applyFont="1" applyBorder="1" applyAlignment="1">
      <alignment horizontal="center" vertical="center"/>
    </xf>
    <xf numFmtId="164" fontId="9" fillId="0" borderId="28" xfId="0" applyNumberFormat="1" applyFont="1" applyBorder="1" applyAlignment="1">
      <alignment horizontal="center" vertical="center"/>
    </xf>
    <xf numFmtId="164" fontId="9" fillId="0" borderId="29" xfId="0" applyNumberFormat="1" applyFont="1" applyBorder="1" applyAlignment="1">
      <alignment horizontal="center" vertical="center"/>
    </xf>
    <xf numFmtId="166" fontId="0" fillId="0" borderId="0" xfId="0" applyNumberFormat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165" fontId="9" fillId="0" borderId="35" xfId="0" applyNumberFormat="1" applyFont="1" applyBorder="1" applyAlignment="1">
      <alignment horizontal="center" vertical="center"/>
    </xf>
    <xf numFmtId="165" fontId="9" fillId="0" borderId="34" xfId="0" applyNumberFormat="1" applyFont="1" applyBorder="1" applyAlignment="1">
      <alignment horizontal="center" vertical="center"/>
    </xf>
    <xf numFmtId="165" fontId="9" fillId="0" borderId="36" xfId="0" applyNumberFormat="1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165" fontId="5" fillId="0" borderId="0" xfId="0" applyNumberFormat="1" applyFont="1"/>
  </cellXfs>
  <cellStyles count="2">
    <cellStyle name="Normale" xfId="0" builtinId="0"/>
    <cellStyle name="Normale 2" xfId="1" xr:uid="{D06FB277-3206-4575-BF7F-2EA09525E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F%20TAB.%20LIQ.%20%202017.18%20iis%20cet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ESEMPIO"/>
      <sheetName val="RIEPILOGO"/>
      <sheetName val="RIEPILOGO+ECONOMIE"/>
      <sheetName val="DSGA SOSTITUZIONE FIGURE SISTEM"/>
      <sheetName val="ind dir "/>
      <sheetName val="FUNZ STRUM"/>
      <sheetName val="CORSI RECUPERO 2018"/>
      <sheetName val="PROGETTO CIACK"/>
      <sheetName val="incarichi specifici"/>
      <sheetName val="LAB TEATRO"/>
      <sheetName val="progetti a 17,5"/>
      <sheetName val="COMMISSIONE BES"/>
      <sheetName val="PROG CERTAMEN"/>
      <sheetName val="ASL 2017-18"/>
      <sheetName val="Coordinatori classe +"/>
      <sheetName val="COLLABORATORE VICARIO"/>
      <sheetName val="REF CLIL"/>
      <sheetName val="IDEI E SPORT ASCOLTO"/>
      <sheetName val="PROGETTI A 35EUIRO"/>
      <sheetName val="INTEGRAZIONI DOCENTI"/>
      <sheetName val="aree a rischio 15.16 itis"/>
      <sheetName val="straord ata doc sosp x accerta"/>
      <sheetName val="straord ata a recupero"/>
      <sheetName val="STRAORD doc ata arretrati"/>
      <sheetName val="STRAORD ATA LUGLIO AGOSTO"/>
      <sheetName val="STRAORD ATA AL 30.6"/>
      <sheetName val="O.E."/>
      <sheetName val="corsi recupero estivi"/>
      <sheetName val="GSS  FERRANTE"/>
    </sheetNames>
    <sheetDataSet>
      <sheetData sheetId="0">
        <row r="7">
          <cell r="B7" t="str">
            <v>TABELLA MADRE</v>
          </cell>
        </row>
        <row r="13"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26">
          <cell r="D26">
            <v>0</v>
          </cell>
          <cell r="F26">
            <v>0</v>
          </cell>
        </row>
      </sheetData>
      <sheetData sheetId="1"/>
      <sheetData sheetId="2"/>
      <sheetData sheetId="3">
        <row r="5">
          <cell r="B5" t="str">
            <v>IND  DIR ARRETRATI E SOSTITUZIONE FIGURE DI SISTEMA</v>
          </cell>
        </row>
        <row r="14">
          <cell r="F14">
            <v>2242.6</v>
          </cell>
          <cell r="G14">
            <v>197.34880000000001</v>
          </cell>
          <cell r="H14">
            <v>7.8491</v>
          </cell>
          <cell r="I14">
            <v>2037.4021000000002</v>
          </cell>
          <cell r="J14">
            <v>774.21279800000002</v>
          </cell>
          <cell r="K14">
            <v>1263.1893020000002</v>
          </cell>
        </row>
      </sheetData>
      <sheetData sheetId="4">
        <row r="9">
          <cell r="B9" t="str">
            <v>INDENNITA' DI  DIREZIONE DEL DSGA</v>
          </cell>
        </row>
        <row r="18">
          <cell r="D18">
            <v>6380</v>
          </cell>
        </row>
        <row r="28">
          <cell r="D28">
            <v>561.44000000000005</v>
          </cell>
        </row>
        <row r="29">
          <cell r="D29">
            <v>22.33</v>
          </cell>
        </row>
      </sheetData>
      <sheetData sheetId="5">
        <row r="6">
          <cell r="B6" t="str">
            <v>FUNZIONISTRUMENTALI</v>
          </cell>
        </row>
        <row r="19">
          <cell r="J19">
            <v>0</v>
          </cell>
          <cell r="K19">
            <v>5959.21</v>
          </cell>
          <cell r="L19">
            <v>524.41048000000001</v>
          </cell>
          <cell r="M19">
            <v>20.857234999999999</v>
          </cell>
          <cell r="N19">
            <v>5413.942285000001</v>
          </cell>
          <cell r="O19">
            <v>1461.7644169500004</v>
          </cell>
          <cell r="P19">
            <v>3952.1778680500006</v>
          </cell>
        </row>
      </sheetData>
      <sheetData sheetId="6">
        <row r="6">
          <cell r="B6" t="str">
            <v>CORSI DI RECUPERO 2018</v>
          </cell>
        </row>
        <row r="19">
          <cell r="D19">
            <v>0</v>
          </cell>
          <cell r="K19">
            <v>2450</v>
          </cell>
          <cell r="L19">
            <v>215.60000000000005</v>
          </cell>
          <cell r="M19">
            <v>8.5749999999999993</v>
          </cell>
          <cell r="N19">
            <v>2225.8249999999998</v>
          </cell>
          <cell r="O19">
            <v>845.81349999999998</v>
          </cell>
          <cell r="P19">
            <v>1380.0115000000001</v>
          </cell>
        </row>
      </sheetData>
      <sheetData sheetId="7">
        <row r="8">
          <cell r="D8" t="str">
            <v>PROGETTO CIACK</v>
          </cell>
        </row>
        <row r="25">
          <cell r="D25">
            <v>0</v>
          </cell>
          <cell r="K25">
            <v>770</v>
          </cell>
          <cell r="L25">
            <v>67.759999999999991</v>
          </cell>
          <cell r="M25">
            <v>2.6950000000000003</v>
          </cell>
          <cell r="N25">
            <v>699.54500000000007</v>
          </cell>
          <cell r="O25">
            <v>188.87715</v>
          </cell>
          <cell r="P25">
            <v>510.66785000000004</v>
          </cell>
        </row>
      </sheetData>
      <sheetData sheetId="8">
        <row r="6">
          <cell r="B6" t="str">
            <v>INCARICHI SPECIFICI</v>
          </cell>
        </row>
        <row r="16">
          <cell r="K16">
            <v>0</v>
          </cell>
          <cell r="L16">
            <v>2999.99</v>
          </cell>
          <cell r="M16">
            <v>264</v>
          </cell>
          <cell r="N16">
            <v>10.5</v>
          </cell>
          <cell r="O16">
            <v>2725.5</v>
          </cell>
          <cell r="P16">
            <v>735.88499999999999</v>
          </cell>
          <cell r="Q16">
            <v>1989.6149999999998</v>
          </cell>
        </row>
      </sheetData>
      <sheetData sheetId="9">
        <row r="5">
          <cell r="B5" t="str">
            <v>LABORATORIO TEATRALE</v>
          </cell>
        </row>
        <row r="23">
          <cell r="F23">
            <v>92</v>
          </cell>
          <cell r="K23">
            <v>1610</v>
          </cell>
          <cell r="L23">
            <v>141.68</v>
          </cell>
          <cell r="M23">
            <v>5.6349999999999998</v>
          </cell>
          <cell r="N23">
            <v>1462.6849999999999</v>
          </cell>
          <cell r="O23">
            <v>394.92495000000002</v>
          </cell>
          <cell r="P23">
            <v>1067.7600499999999</v>
          </cell>
        </row>
      </sheetData>
      <sheetData sheetId="10">
        <row r="7">
          <cell r="D7" t="str">
            <v>PROGETTI DA €. 17,50</v>
          </cell>
        </row>
        <row r="20">
          <cell r="F20">
            <v>192</v>
          </cell>
          <cell r="K20">
            <v>3360</v>
          </cell>
          <cell r="L20">
            <v>295.68</v>
          </cell>
          <cell r="M20">
            <v>11.759999999999998</v>
          </cell>
          <cell r="N20">
            <v>3052.56</v>
          </cell>
          <cell r="O20">
            <v>824.19119999999998</v>
          </cell>
          <cell r="P20">
            <v>2228.3688000000002</v>
          </cell>
        </row>
      </sheetData>
      <sheetData sheetId="11">
        <row r="7">
          <cell r="D7" t="str">
            <v>COMMISSIONE BES</v>
          </cell>
        </row>
        <row r="24">
          <cell r="D24">
            <v>0</v>
          </cell>
          <cell r="K24">
            <v>350</v>
          </cell>
          <cell r="L24">
            <v>30.800000000000004</v>
          </cell>
          <cell r="M24">
            <v>1.2249999999999999</v>
          </cell>
          <cell r="N24">
            <v>317.97499999999997</v>
          </cell>
          <cell r="O24">
            <v>120.83049999999999</v>
          </cell>
          <cell r="P24">
            <v>197.14449999999999</v>
          </cell>
        </row>
      </sheetData>
      <sheetData sheetId="12">
        <row r="8">
          <cell r="D8" t="str">
            <v>PROGETTI CERTAMEN</v>
          </cell>
        </row>
        <row r="27">
          <cell r="D27">
            <v>0</v>
          </cell>
          <cell r="F27">
            <v>80</v>
          </cell>
          <cell r="K27">
            <v>2100</v>
          </cell>
          <cell r="L27">
            <v>184.8</v>
          </cell>
          <cell r="M27">
            <v>7.35</v>
          </cell>
          <cell r="N27">
            <v>1907.85</v>
          </cell>
          <cell r="O27">
            <v>724.98299999999995</v>
          </cell>
          <cell r="P27">
            <v>1182.867</v>
          </cell>
        </row>
      </sheetData>
      <sheetData sheetId="13">
        <row r="6">
          <cell r="B6" t="str">
            <v>ASL 2017/18</v>
          </cell>
        </row>
        <row r="28">
          <cell r="F28">
            <v>460</v>
          </cell>
          <cell r="K28">
            <v>8050</v>
          </cell>
          <cell r="L28">
            <v>708.40000000000009</v>
          </cell>
          <cell r="M28">
            <v>28.174999999999997</v>
          </cell>
          <cell r="N28">
            <v>7313.4250000000002</v>
          </cell>
          <cell r="O28">
            <v>1974.6247499999995</v>
          </cell>
          <cell r="P28">
            <v>5338.8002500000002</v>
          </cell>
        </row>
      </sheetData>
      <sheetData sheetId="14">
        <row r="5">
          <cell r="B5" t="str">
            <v>COORDINATORI DI CLASSE E DIPARTIMENTI E NIV</v>
          </cell>
        </row>
        <row r="48">
          <cell r="D48">
            <v>251</v>
          </cell>
          <cell r="I48">
            <v>4392.5</v>
          </cell>
          <cell r="J48">
            <v>386.53999999999996</v>
          </cell>
          <cell r="K48">
            <v>15.373750000000003</v>
          </cell>
          <cell r="L48">
            <v>3990.5862500000007</v>
          </cell>
          <cell r="M48">
            <v>1077.4582875000003</v>
          </cell>
          <cell r="N48">
            <v>2913.1279624999993</v>
          </cell>
        </row>
      </sheetData>
      <sheetData sheetId="15">
        <row r="7">
          <cell r="D7" t="str">
            <v>COLLABORATORI DEL DIRIGENTE SCOLASTICO E RESPONSABILI DI PLESSO</v>
          </cell>
        </row>
        <row r="23">
          <cell r="F23">
            <v>625</v>
          </cell>
          <cell r="K23">
            <v>12460</v>
          </cell>
          <cell r="L23">
            <v>962.5</v>
          </cell>
          <cell r="M23">
            <v>38.281249999999993</v>
          </cell>
          <cell r="N23">
            <v>9936.7187499999982</v>
          </cell>
          <cell r="O23">
            <v>2682.9140625000005</v>
          </cell>
          <cell r="P23">
            <v>7253.8046875000009</v>
          </cell>
        </row>
      </sheetData>
      <sheetData sheetId="16">
        <row r="5">
          <cell r="B5" t="str">
            <v>REFERENTE CLIL</v>
          </cell>
        </row>
        <row r="12">
          <cell r="F12">
            <v>0</v>
          </cell>
          <cell r="K12">
            <v>805</v>
          </cell>
          <cell r="L12">
            <v>70.84</v>
          </cell>
          <cell r="M12">
            <v>2.8174999999999999</v>
          </cell>
          <cell r="N12">
            <v>731.34249999999997</v>
          </cell>
          <cell r="O12">
            <v>277.91014999999999</v>
          </cell>
          <cell r="P12">
            <v>453.43234999999999</v>
          </cell>
        </row>
      </sheetData>
      <sheetData sheetId="17">
        <row r="5">
          <cell r="B5" t="str">
            <v>IDEI E SPORTELLO ASCOLTO</v>
          </cell>
        </row>
        <row r="21">
          <cell r="F21">
            <v>46</v>
          </cell>
          <cell r="K21">
            <v>805</v>
          </cell>
          <cell r="L21">
            <v>70.84</v>
          </cell>
          <cell r="M21">
            <v>2.8174999999999999</v>
          </cell>
          <cell r="N21">
            <v>731.34249999999997</v>
          </cell>
          <cell r="O21">
            <v>277.91014999999999</v>
          </cell>
          <cell r="P21">
            <v>453.43234999999999</v>
          </cell>
        </row>
      </sheetData>
      <sheetData sheetId="18">
        <row r="5">
          <cell r="B5" t="str">
            <v>PROGETTI VARI</v>
          </cell>
        </row>
        <row r="31">
          <cell r="E31">
            <v>4970</v>
          </cell>
          <cell r="F31">
            <v>283.36000000000007</v>
          </cell>
          <cell r="G31">
            <v>11.269999999999996</v>
          </cell>
          <cell r="H31">
            <v>2925.369999999999</v>
          </cell>
          <cell r="I31">
            <v>789.84990000000028</v>
          </cell>
          <cell r="J31">
            <v>2135.5200999999997</v>
          </cell>
        </row>
      </sheetData>
      <sheetData sheetId="19">
        <row r="5">
          <cell r="B5" t="str">
            <v>COMPENSI VARI - integrazione di sett. 18</v>
          </cell>
        </row>
        <row r="31">
          <cell r="E31">
            <v>875</v>
          </cell>
          <cell r="F31">
            <v>77</v>
          </cell>
          <cell r="G31">
            <v>3.0625</v>
          </cell>
          <cell r="H31">
            <v>794.93750000000011</v>
          </cell>
          <cell r="I31">
            <v>214.63312500000001</v>
          </cell>
          <cell r="J31">
            <v>580.30437499999994</v>
          </cell>
        </row>
      </sheetData>
      <sheetData sheetId="20">
        <row r="5">
          <cell r="B5" t="str">
            <v>AREE A RISCHIO 2015/16</v>
          </cell>
        </row>
        <row r="36">
          <cell r="E36">
            <v>3261.79</v>
          </cell>
        </row>
      </sheetData>
      <sheetData sheetId="21">
        <row r="5">
          <cell r="B5" t="str">
            <v>STRAORDINARIO ATA 2017/18 e precedenti sospeso e minori assegnazioni</v>
          </cell>
        </row>
        <row r="8">
          <cell r="F8">
            <v>261</v>
          </cell>
        </row>
        <row r="9">
          <cell r="F9">
            <v>318.75</v>
          </cell>
        </row>
        <row r="10">
          <cell r="F10">
            <v>600</v>
          </cell>
        </row>
        <row r="11">
          <cell r="F11">
            <v>105</v>
          </cell>
        </row>
        <row r="12">
          <cell r="F12">
            <v>350</v>
          </cell>
        </row>
        <row r="13">
          <cell r="F13">
            <v>6092.4699999999993</v>
          </cell>
        </row>
        <row r="14">
          <cell r="F14">
            <v>7727.2199999999993</v>
          </cell>
          <cell r="G14">
            <v>679.99535999999989</v>
          </cell>
          <cell r="H14">
            <v>27.045269999999995</v>
          </cell>
          <cell r="I14">
            <v>7020.1793699999989</v>
          </cell>
          <cell r="J14">
            <v>1895.4484299000001</v>
          </cell>
          <cell r="K14">
            <v>5124.7309400999993</v>
          </cell>
        </row>
      </sheetData>
      <sheetData sheetId="22"/>
      <sheetData sheetId="23">
        <row r="5">
          <cell r="B5" t="str">
            <v xml:space="preserve">STRAORDINARIO DOC. E ATA DI COMPETENZA E ANNI PRECEDENTI </v>
          </cell>
        </row>
        <row r="13">
          <cell r="F13">
            <v>2667.25</v>
          </cell>
          <cell r="G13">
            <v>234.71800000000002</v>
          </cell>
          <cell r="H13">
            <v>9.3353749999999991</v>
          </cell>
          <cell r="I13">
            <v>2423.1966249999996</v>
          </cell>
          <cell r="J13">
            <v>654.26308874999995</v>
          </cell>
          <cell r="K13">
            <v>1768.9335362499996</v>
          </cell>
        </row>
      </sheetData>
      <sheetData sheetId="24">
        <row r="5">
          <cell r="B5" t="str">
            <v>STRAORDINARIO ATA ESTENSIVO di  LUGLIO - AGOSTO 2018 e conguagli fine anno</v>
          </cell>
        </row>
        <row r="10">
          <cell r="E10">
            <v>42</v>
          </cell>
          <cell r="F10">
            <v>609</v>
          </cell>
          <cell r="G10">
            <v>53.591999999999999</v>
          </cell>
          <cell r="H10">
            <v>2.1315</v>
          </cell>
          <cell r="I10">
            <v>553.27650000000006</v>
          </cell>
          <cell r="J10">
            <v>149.38465500000001</v>
          </cell>
          <cell r="K10">
            <v>403.89184499999999</v>
          </cell>
        </row>
      </sheetData>
      <sheetData sheetId="25">
        <row r="7">
          <cell r="B7" t="str">
            <v>STRAORDINARIO ATA ESTENSIVO</v>
          </cell>
        </row>
        <row r="60">
          <cell r="F60">
            <v>815</v>
          </cell>
          <cell r="G60">
            <v>10872.5</v>
          </cell>
          <cell r="H60">
            <v>956.7800000000002</v>
          </cell>
          <cell r="I60">
            <v>38.053750000000001</v>
          </cell>
          <cell r="J60">
            <v>9877.6662500000002</v>
          </cell>
          <cell r="K60">
            <v>2666.9698874999999</v>
          </cell>
          <cell r="L60">
            <v>7210.6963624999999</v>
          </cell>
        </row>
      </sheetData>
      <sheetData sheetId="26">
        <row r="6">
          <cell r="B6" t="str">
            <v>SOSTITUZIONE COLLEGHI ASSENTI</v>
          </cell>
        </row>
        <row r="48">
          <cell r="D48">
            <v>9</v>
          </cell>
          <cell r="K48">
            <v>243.81450000000001</v>
          </cell>
          <cell r="L48">
            <v>21.455676000000004</v>
          </cell>
          <cell r="M48">
            <v>0.85335074999999994</v>
          </cell>
          <cell r="N48">
            <v>221.50547325000002</v>
          </cell>
          <cell r="O48">
            <v>84.172079835000005</v>
          </cell>
          <cell r="P48">
            <v>137.33339341499999</v>
          </cell>
        </row>
      </sheetData>
      <sheetData sheetId="27">
        <row r="8">
          <cell r="B8" t="str">
            <v>CORSI DI RECUPERO ESTIVI</v>
          </cell>
        </row>
        <row r="15">
          <cell r="E15">
            <v>1750</v>
          </cell>
          <cell r="F15">
            <v>154.00000000000003</v>
          </cell>
          <cell r="G15">
            <v>6.1249999999999991</v>
          </cell>
          <cell r="H15">
            <v>1589.8749999999998</v>
          </cell>
          <cell r="I15">
            <v>429.26625000000001</v>
          </cell>
          <cell r="J15">
            <v>1160.6087499999999</v>
          </cell>
        </row>
      </sheetData>
      <sheetData sheetId="28">
        <row r="8">
          <cell r="D8" t="str">
            <v>GSS</v>
          </cell>
        </row>
        <row r="25">
          <cell r="D25">
            <v>121</v>
          </cell>
          <cell r="K25">
            <v>4261.62</v>
          </cell>
          <cell r="L25">
            <v>375.02256</v>
          </cell>
          <cell r="M25">
            <v>14.915669999999999</v>
          </cell>
          <cell r="N25">
            <v>3871.6817700000001</v>
          </cell>
          <cell r="O25">
            <v>1471.2390726000001</v>
          </cell>
          <cell r="P25">
            <v>2400.4426973999998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19C3-1D19-4BAD-B659-4B9AAF11DCD3}">
  <dimension ref="A2:N69"/>
  <sheetViews>
    <sheetView tabSelected="1" topLeftCell="A47" workbookViewId="0">
      <selection activeCell="A41" sqref="A41"/>
    </sheetView>
  </sheetViews>
  <sheetFormatPr defaultRowHeight="12.75" x14ac:dyDescent="0.2"/>
  <cols>
    <col min="1" max="1" width="43.28515625" style="3" bestFit="1" customWidth="1"/>
    <col min="2" max="2" width="26.5703125" bestFit="1" customWidth="1"/>
    <col min="3" max="3" width="19.5703125" bestFit="1" customWidth="1"/>
    <col min="4" max="4" width="16.28515625" bestFit="1" customWidth="1"/>
    <col min="5" max="5" width="23.7109375" bestFit="1" customWidth="1"/>
    <col min="6" max="6" width="23.7109375" customWidth="1"/>
    <col min="7" max="7" width="22.7109375" bestFit="1" customWidth="1"/>
    <col min="8" max="8" width="27.140625" customWidth="1"/>
    <col min="9" max="9" width="24" customWidth="1"/>
    <col min="10" max="10" width="26" customWidth="1"/>
    <col min="11" max="11" width="22" style="5" customWidth="1"/>
    <col min="12" max="12" width="33.7109375" bestFit="1" customWidth="1"/>
    <col min="13" max="13" width="14.7109375" style="3" customWidth="1"/>
    <col min="14" max="14" width="11.28515625" style="3" customWidth="1"/>
    <col min="15" max="15" width="4.5703125" customWidth="1"/>
  </cols>
  <sheetData>
    <row r="2" spans="1:14" ht="26.25" x14ac:dyDescent="0.4">
      <c r="A2" s="1" t="s">
        <v>0</v>
      </c>
      <c r="B2" s="1"/>
      <c r="C2" s="2"/>
      <c r="D2" s="2"/>
      <c r="E2" s="2"/>
      <c r="F2" s="2"/>
      <c r="G2" s="2"/>
      <c r="H2" s="2"/>
      <c r="I2" s="2"/>
      <c r="J2" s="2"/>
      <c r="K2" s="2"/>
    </row>
    <row r="3" spans="1:14" ht="15" customHeight="1" x14ac:dyDescent="0.4">
      <c r="A3" s="1"/>
      <c r="B3" s="1"/>
      <c r="C3" s="4"/>
      <c r="D3" s="4"/>
      <c r="E3" s="4"/>
      <c r="F3" s="4"/>
      <c r="G3" s="4"/>
      <c r="H3" s="4"/>
      <c r="I3" s="4"/>
      <c r="J3" s="4"/>
      <c r="K3" s="4"/>
    </row>
    <row r="4" spans="1:14" ht="21" customHeight="1" x14ac:dyDescent="0.4">
      <c r="A4" s="1" t="s">
        <v>1</v>
      </c>
      <c r="B4" s="1"/>
      <c r="C4" s="4"/>
      <c r="D4" s="4"/>
      <c r="E4" s="4"/>
      <c r="F4" s="4"/>
      <c r="G4" s="4"/>
      <c r="H4" s="4"/>
      <c r="I4" s="4"/>
      <c r="J4" s="4"/>
      <c r="K4" s="4"/>
    </row>
    <row r="5" spans="1:14" ht="26.25" x14ac:dyDescent="0.4">
      <c r="A5" s="1" t="s">
        <v>2</v>
      </c>
      <c r="B5" s="1"/>
      <c r="C5" s="4"/>
      <c r="D5" s="4"/>
      <c r="E5" s="4"/>
      <c r="F5" s="4"/>
      <c r="G5" s="4"/>
      <c r="H5" s="4"/>
      <c r="I5" s="4"/>
      <c r="J5" s="4"/>
      <c r="K5" s="4"/>
    </row>
    <row r="6" spans="1:14" ht="13.5" thickBot="1" x14ac:dyDescent="0.25"/>
    <row r="7" spans="1:14" ht="24" thickBot="1" x14ac:dyDescent="0.4">
      <c r="A7" s="6" t="s">
        <v>3</v>
      </c>
      <c r="B7" s="7"/>
      <c r="C7" s="7"/>
      <c r="D7" s="7"/>
      <c r="E7" s="7"/>
      <c r="F7" s="7"/>
      <c r="G7" s="7"/>
      <c r="H7" s="7"/>
      <c r="I7" s="7"/>
      <c r="J7" s="7"/>
      <c r="K7" s="8"/>
      <c r="L7" s="8"/>
      <c r="M7" s="9"/>
    </row>
    <row r="8" spans="1:14" ht="15" hidden="1" customHeight="1" x14ac:dyDescent="0.25">
      <c r="A8" s="10"/>
      <c r="B8" s="11"/>
      <c r="C8" s="11"/>
      <c r="D8" s="11"/>
      <c r="E8" s="12"/>
      <c r="F8" s="12"/>
      <c r="G8" s="13"/>
      <c r="H8" s="13"/>
      <c r="I8" s="13"/>
      <c r="J8" s="13"/>
      <c r="K8" s="14"/>
    </row>
    <row r="9" spans="1:14" ht="15" hidden="1" customHeight="1" x14ac:dyDescent="0.25">
      <c r="A9" s="10"/>
      <c r="B9" s="11"/>
      <c r="C9" s="11"/>
      <c r="D9" s="11"/>
      <c r="E9" s="12"/>
      <c r="F9" s="12"/>
      <c r="G9" s="13"/>
      <c r="H9" s="13"/>
      <c r="I9" s="13"/>
      <c r="J9" s="13"/>
      <c r="K9" s="14"/>
    </row>
    <row r="10" spans="1:14" ht="15" hidden="1" customHeight="1" x14ac:dyDescent="0.25">
      <c r="A10" s="10"/>
      <c r="B10" s="11"/>
      <c r="C10" s="11"/>
      <c r="D10" s="11"/>
      <c r="E10" s="12"/>
      <c r="F10" s="12"/>
      <c r="G10" s="13"/>
      <c r="H10" s="13"/>
      <c r="I10" s="13"/>
      <c r="J10" s="13"/>
      <c r="K10" s="14"/>
    </row>
    <row r="11" spans="1:14" ht="15" hidden="1" customHeight="1" x14ac:dyDescent="0.25">
      <c r="A11" s="10"/>
      <c r="B11" s="11"/>
      <c r="C11" s="11"/>
      <c r="D11" s="11"/>
      <c r="E11" s="15"/>
      <c r="F11" s="15"/>
      <c r="G11" s="13"/>
      <c r="H11" s="13"/>
      <c r="I11" s="13"/>
      <c r="J11" s="13"/>
      <c r="K11" s="14"/>
    </row>
    <row r="12" spans="1:14" ht="15" hidden="1" customHeight="1" x14ac:dyDescent="0.2">
      <c r="A12" s="16"/>
      <c r="B12" s="17"/>
      <c r="C12" s="17"/>
      <c r="D12" s="17"/>
      <c r="E12" s="18"/>
      <c r="F12" s="18"/>
      <c r="G12" s="19"/>
      <c r="H12" s="19"/>
      <c r="I12" s="19"/>
      <c r="J12" s="19"/>
      <c r="K12" s="20"/>
    </row>
    <row r="13" spans="1:14" ht="13.5" hidden="1" thickBot="1" x14ac:dyDescent="0.25">
      <c r="A13" s="21"/>
      <c r="B13" s="19"/>
      <c r="C13" s="19"/>
      <c r="D13" s="19"/>
      <c r="E13" s="19"/>
      <c r="F13" s="19"/>
      <c r="G13" s="19"/>
      <c r="H13" s="19"/>
      <c r="I13" s="19"/>
      <c r="J13" s="19"/>
      <c r="K13" s="20"/>
    </row>
    <row r="14" spans="1:14" ht="13.5" hidden="1" thickBot="1" x14ac:dyDescent="0.25">
      <c r="A14" s="21"/>
      <c r="B14" s="19"/>
      <c r="C14" s="19"/>
      <c r="D14" s="19"/>
      <c r="E14" s="19"/>
      <c r="F14" s="19"/>
      <c r="G14" s="19"/>
      <c r="H14" s="19"/>
      <c r="I14" s="19"/>
      <c r="J14" s="19"/>
      <c r="K14" s="20"/>
    </row>
    <row r="15" spans="1:14" s="28" customFormat="1" ht="76.900000000000006" customHeight="1" thickBot="1" x14ac:dyDescent="0.25">
      <c r="A15" s="22" t="s">
        <v>4</v>
      </c>
      <c r="B15" s="23" t="s">
        <v>5</v>
      </c>
      <c r="C15" s="23" t="s">
        <v>6</v>
      </c>
      <c r="D15" s="23" t="s">
        <v>7</v>
      </c>
      <c r="E15" s="23" t="s">
        <v>8</v>
      </c>
      <c r="F15" s="23" t="s">
        <v>9</v>
      </c>
      <c r="G15" s="23" t="s">
        <v>10</v>
      </c>
      <c r="H15" s="23" t="s">
        <v>11</v>
      </c>
      <c r="I15" s="23" t="s">
        <v>12</v>
      </c>
      <c r="J15" s="23" t="s">
        <v>13</v>
      </c>
      <c r="K15" s="24" t="s">
        <v>14</v>
      </c>
      <c r="L15" s="25" t="s">
        <v>15</v>
      </c>
      <c r="M15" s="26" t="s">
        <v>16</v>
      </c>
      <c r="N15" s="27" t="s">
        <v>17</v>
      </c>
    </row>
    <row r="16" spans="1:14" ht="30" customHeight="1" x14ac:dyDescent="0.25">
      <c r="A16" s="29" t="str">
        <f>'[1]P1 ESEMPIO'!B7</f>
        <v>TABELLA MADRE</v>
      </c>
      <c r="B16" s="30">
        <f>'[1]P1 ESEMPIO'!D26</f>
        <v>0</v>
      </c>
      <c r="C16" s="30">
        <f>'[1]P1 ESEMPIO'!F26</f>
        <v>0</v>
      </c>
      <c r="D16" s="30"/>
      <c r="E16" s="31">
        <f>'[1]P1 ESEMPIO'!K13</f>
        <v>0</v>
      </c>
      <c r="F16" s="31">
        <f>'[1]P1 ESEMPIO'!L13</f>
        <v>0</v>
      </c>
      <c r="G16" s="31">
        <f>'[1]P1 ESEMPIO'!M13</f>
        <v>0</v>
      </c>
      <c r="H16" s="31">
        <f>'[1]P1 ESEMPIO'!N13</f>
        <v>0</v>
      </c>
      <c r="I16" s="31">
        <f>'[1]P1 ESEMPIO'!O13</f>
        <v>0</v>
      </c>
      <c r="J16" s="31">
        <f>'[1]P1 ESEMPIO'!P13</f>
        <v>0</v>
      </c>
      <c r="K16" s="32">
        <f>'[1]P1 ESEMPIO'!R13</f>
        <v>0</v>
      </c>
      <c r="L16" s="33"/>
      <c r="M16" s="34"/>
      <c r="N16" s="35"/>
    </row>
    <row r="17" spans="1:14" ht="29.45" customHeight="1" x14ac:dyDescent="0.25">
      <c r="A17" s="36" t="str">
        <f>'[1]PROG CERTAMEN'!D8</f>
        <v>PROGETTI CERTAMEN</v>
      </c>
      <c r="B17" s="37"/>
      <c r="C17" s="38">
        <f>'[1]PROG CERTAMEN'!F27+'[1]PROG CERTAMEN'!D27</f>
        <v>80</v>
      </c>
      <c r="D17" s="39"/>
      <c r="E17" s="31">
        <f>'[1]PROG CERTAMEN'!K27</f>
        <v>2100</v>
      </c>
      <c r="F17" s="31">
        <f>'[1]PROG CERTAMEN'!L27</f>
        <v>184.8</v>
      </c>
      <c r="G17" s="31">
        <f>'[1]PROG CERTAMEN'!M27</f>
        <v>7.35</v>
      </c>
      <c r="H17" s="31">
        <f>'[1]PROG CERTAMEN'!N27</f>
        <v>1907.85</v>
      </c>
      <c r="I17" s="31">
        <f>'[1]PROG CERTAMEN'!O27</f>
        <v>724.98299999999995</v>
      </c>
      <c r="J17" s="31">
        <f>'[1]PROG CERTAMEN'!P27</f>
        <v>1182.867</v>
      </c>
      <c r="K17" s="40">
        <v>2100</v>
      </c>
      <c r="L17" s="41">
        <f>E17-K17</f>
        <v>0</v>
      </c>
      <c r="M17" s="42"/>
      <c r="N17" s="43">
        <v>43339</v>
      </c>
    </row>
    <row r="18" spans="1:14" ht="53.45" customHeight="1" x14ac:dyDescent="0.25">
      <c r="A18" s="36" t="str">
        <f>'[1]COLLABORATORE VICARIO'!D7</f>
        <v>COLLABORATORI DEL DIRIGENTE SCOLASTICO E RESPONSABILI DI PLESSO</v>
      </c>
      <c r="B18" s="37"/>
      <c r="C18" s="38">
        <f>'[1]COLLABORATORE VICARIO'!F23</f>
        <v>625</v>
      </c>
      <c r="D18" s="37"/>
      <c r="E18" s="44">
        <f>'[1]COLLABORATORE VICARIO'!K23</f>
        <v>12460</v>
      </c>
      <c r="F18" s="44">
        <f>'[1]COLLABORATORE VICARIO'!L23</f>
        <v>962.5</v>
      </c>
      <c r="G18" s="44">
        <f>'[1]COLLABORATORE VICARIO'!M23</f>
        <v>38.281249999999993</v>
      </c>
      <c r="H18" s="44">
        <f>'[1]COLLABORATORE VICARIO'!N23</f>
        <v>9936.7187499999982</v>
      </c>
      <c r="I18" s="44">
        <f>'[1]COLLABORATORE VICARIO'!O23</f>
        <v>2682.9140625000005</v>
      </c>
      <c r="J18" s="44">
        <f>'[1]COLLABORATORE VICARIO'!P23</f>
        <v>7253.8046875000009</v>
      </c>
      <c r="K18" s="45">
        <v>12460</v>
      </c>
      <c r="L18" s="41">
        <f>E18-K18</f>
        <v>0</v>
      </c>
      <c r="M18" s="42"/>
      <c r="N18" s="43">
        <v>43308</v>
      </c>
    </row>
    <row r="19" spans="1:14" ht="36" x14ac:dyDescent="0.25">
      <c r="A19" s="46" t="str">
        <f>'[1]ind dir '!B9</f>
        <v>INDENNITA' DI  DIREZIONE DEL DSGA</v>
      </c>
      <c r="B19" s="37"/>
      <c r="C19" s="37"/>
      <c r="D19" s="38">
        <f>E19/18.5</f>
        <v>344.86486486486484</v>
      </c>
      <c r="E19" s="44">
        <f>'[1]ind dir '!D18</f>
        <v>6380</v>
      </c>
      <c r="F19" s="44">
        <f>'[1]ind dir '!D28</f>
        <v>561.44000000000005</v>
      </c>
      <c r="G19" s="44">
        <f>'[1]ind dir '!D29</f>
        <v>22.33</v>
      </c>
      <c r="H19" s="44">
        <f>RIEPILOGO!E19-RIEPILOGO!F19-RIEPILOGO!G19</f>
        <v>5796.23</v>
      </c>
      <c r="I19" s="44">
        <f>H19*27/100</f>
        <v>1564.9820999999999</v>
      </c>
      <c r="J19" s="44">
        <f>H19-I19</f>
        <v>4231.2478999999994</v>
      </c>
      <c r="K19" s="45">
        <f>1720+406.67+4253.33</f>
        <v>6380</v>
      </c>
      <c r="L19" s="41">
        <f t="shared" ref="L19:L41" si="0">E19-K19</f>
        <v>0</v>
      </c>
      <c r="M19" s="42"/>
      <c r="N19" s="43"/>
    </row>
    <row r="20" spans="1:14" ht="61.9" customHeight="1" x14ac:dyDescent="0.25">
      <c r="A20" s="46" t="str">
        <f>'[1]ASL 2017-18'!B6</f>
        <v>ASL 2017/18</v>
      </c>
      <c r="B20" s="37"/>
      <c r="C20" s="38">
        <f>'[1]ASL 2017-18'!F28</f>
        <v>460</v>
      </c>
      <c r="D20" s="38"/>
      <c r="E20" s="44">
        <f>'[1]ASL 2017-18'!K28</f>
        <v>8050</v>
      </c>
      <c r="F20" s="44">
        <f>'[1]ASL 2017-18'!L28</f>
        <v>708.40000000000009</v>
      </c>
      <c r="G20" s="44">
        <f>'[1]ASL 2017-18'!M28</f>
        <v>28.174999999999997</v>
      </c>
      <c r="H20" s="44">
        <f>'[1]ASL 2017-18'!N28</f>
        <v>7313.4250000000002</v>
      </c>
      <c r="I20" s="44">
        <f>'[1]ASL 2017-18'!O28</f>
        <v>1974.6247499999995</v>
      </c>
      <c r="J20" s="44">
        <f>'[1]ASL 2017-18'!P28</f>
        <v>5338.8002500000002</v>
      </c>
      <c r="K20" s="45">
        <v>8050</v>
      </c>
      <c r="L20" s="41">
        <f>E20-K20</f>
        <v>0</v>
      </c>
      <c r="M20" s="42"/>
      <c r="N20" s="43">
        <v>43340</v>
      </c>
    </row>
    <row r="21" spans="1:14" ht="54" customHeight="1" x14ac:dyDescent="0.25">
      <c r="A21" s="46" t="str">
        <f>'[1]aree a rischio 15.16 itis'!B5</f>
        <v>AREE A RISCHIO 2015/16</v>
      </c>
      <c r="B21" s="38"/>
      <c r="C21" s="38"/>
      <c r="D21" s="38"/>
      <c r="E21" s="44">
        <f>'[1]aree a rischio 15.16 itis'!E36</f>
        <v>3261.79</v>
      </c>
      <c r="F21" s="44">
        <f>'[1]REF CLIL'!L12</f>
        <v>70.84</v>
      </c>
      <c r="G21" s="44">
        <f>'[1]REF CLIL'!M12</f>
        <v>2.8174999999999999</v>
      </c>
      <c r="H21" s="44">
        <f>'[1]REF CLIL'!N12</f>
        <v>731.34249999999997</v>
      </c>
      <c r="I21" s="44">
        <f>'[1]REF CLIL'!O12</f>
        <v>277.91014999999999</v>
      </c>
      <c r="J21" s="44">
        <f>'[1]REF CLIL'!P12</f>
        <v>453.43234999999999</v>
      </c>
      <c r="K21" s="45">
        <v>3261.79</v>
      </c>
      <c r="L21" s="41">
        <f t="shared" si="0"/>
        <v>0</v>
      </c>
      <c r="M21" s="42"/>
      <c r="N21" s="43">
        <v>43353</v>
      </c>
    </row>
    <row r="22" spans="1:14" ht="54" customHeight="1" x14ac:dyDescent="0.25">
      <c r="A22" s="46" t="str">
        <f>'[1]corsi recupero estivi'!B8</f>
        <v>CORSI DI RECUPERO ESTIVI</v>
      </c>
      <c r="B22" s="38"/>
      <c r="C22" s="38"/>
      <c r="D22" s="38"/>
      <c r="E22" s="44">
        <f>'[1]corsi recupero estivi'!E15</f>
        <v>1750</v>
      </c>
      <c r="F22" s="44">
        <f>'[1]corsi recupero estivi'!F15</f>
        <v>154.00000000000003</v>
      </c>
      <c r="G22" s="44">
        <f>'[1]corsi recupero estivi'!G15</f>
        <v>6.1249999999999991</v>
      </c>
      <c r="H22" s="44">
        <f>'[1]corsi recupero estivi'!H15</f>
        <v>1589.8749999999998</v>
      </c>
      <c r="I22" s="44">
        <f>'[1]corsi recupero estivi'!I15</f>
        <v>429.26625000000001</v>
      </c>
      <c r="J22" s="44">
        <f>'[1]corsi recupero estivi'!J15</f>
        <v>1160.6087499999999</v>
      </c>
      <c r="K22" s="45">
        <f>700+350</f>
        <v>1050</v>
      </c>
      <c r="L22" s="41">
        <f t="shared" si="0"/>
        <v>700</v>
      </c>
      <c r="M22" s="42">
        <v>17222375</v>
      </c>
      <c r="N22" s="43">
        <v>43418</v>
      </c>
    </row>
    <row r="23" spans="1:14" ht="38.450000000000003" customHeight="1" x14ac:dyDescent="0.25">
      <c r="A23" s="46" t="str">
        <f>'[1]COMMISSIONE BES'!D7</f>
        <v>COMMISSIONE BES</v>
      </c>
      <c r="B23" s="37">
        <f>'[1]COMMISSIONE BES'!D24</f>
        <v>0</v>
      </c>
      <c r="C23" s="38"/>
      <c r="D23" s="38"/>
      <c r="E23" s="44">
        <f>'[1]COMMISSIONE BES'!K24</f>
        <v>350</v>
      </c>
      <c r="F23" s="44">
        <f>'[1]COMMISSIONE BES'!L24</f>
        <v>30.800000000000004</v>
      </c>
      <c r="G23" s="44">
        <f>'[1]COMMISSIONE BES'!M24</f>
        <v>1.2249999999999999</v>
      </c>
      <c r="H23" s="44">
        <f>'[1]COMMISSIONE BES'!N24</f>
        <v>317.97499999999997</v>
      </c>
      <c r="I23" s="44">
        <f>'[1]COMMISSIONE BES'!O24</f>
        <v>120.83049999999999</v>
      </c>
      <c r="J23" s="44">
        <f>'[1]COMMISSIONE BES'!P24</f>
        <v>197.14449999999999</v>
      </c>
      <c r="K23" s="45">
        <v>350</v>
      </c>
      <c r="L23" s="41">
        <f t="shared" si="0"/>
        <v>0</v>
      </c>
      <c r="M23" s="42"/>
      <c r="N23" s="43">
        <v>43332</v>
      </c>
    </row>
    <row r="24" spans="1:14" ht="47.45" customHeight="1" x14ac:dyDescent="0.25">
      <c r="A24" s="46" t="str">
        <f>'[1]LAB TEATRO'!B5</f>
        <v>LABORATORIO TEATRALE</v>
      </c>
      <c r="B24" s="37"/>
      <c r="C24" s="38">
        <f>'[1]LAB TEATRO'!F23</f>
        <v>92</v>
      </c>
      <c r="D24" s="38"/>
      <c r="E24" s="44">
        <f>'[1]LAB TEATRO'!K23</f>
        <v>1610</v>
      </c>
      <c r="F24" s="44">
        <f>'[1]LAB TEATRO'!L23</f>
        <v>141.68</v>
      </c>
      <c r="G24" s="44">
        <f>'[1]LAB TEATRO'!M23</f>
        <v>5.6349999999999998</v>
      </c>
      <c r="H24" s="44">
        <f>'[1]LAB TEATRO'!N23</f>
        <v>1462.6849999999999</v>
      </c>
      <c r="I24" s="44">
        <f>'[1]LAB TEATRO'!O23</f>
        <v>394.92495000000002</v>
      </c>
      <c r="J24" s="44">
        <f>'[1]LAB TEATRO'!P23</f>
        <v>1067.7600499999999</v>
      </c>
      <c r="K24" s="45">
        <v>1610</v>
      </c>
      <c r="L24" s="41">
        <f t="shared" si="0"/>
        <v>0</v>
      </c>
      <c r="M24" s="42"/>
      <c r="N24" s="43">
        <v>43332</v>
      </c>
    </row>
    <row r="25" spans="1:14" ht="62.25" customHeight="1" x14ac:dyDescent="0.25">
      <c r="A25" s="46" t="str">
        <f>'[1]GSS  FERRANTE'!D8</f>
        <v>GSS</v>
      </c>
      <c r="B25" s="38">
        <f>'[1]GSS  FERRANTE'!D25</f>
        <v>121</v>
      </c>
      <c r="C25" s="38"/>
      <c r="D25" s="38"/>
      <c r="E25" s="44">
        <f>'[1]GSS  FERRANTE'!K25</f>
        <v>4261.62</v>
      </c>
      <c r="F25" s="44">
        <f>'[1]GSS  FERRANTE'!L25</f>
        <v>375.02256</v>
      </c>
      <c r="G25" s="44">
        <f>'[1]GSS  FERRANTE'!M25</f>
        <v>14.915669999999999</v>
      </c>
      <c r="H25" s="44">
        <f>'[1]GSS  FERRANTE'!N25</f>
        <v>3871.6817700000001</v>
      </c>
      <c r="I25" s="44">
        <f>'[1]GSS  FERRANTE'!O25</f>
        <v>1471.2390726000001</v>
      </c>
      <c r="J25" s="44">
        <f>'[1]GSS  FERRANTE'!P25</f>
        <v>2400.4426973999998</v>
      </c>
      <c r="K25" s="45">
        <f>1131.17+3130.45</f>
        <v>4261.62</v>
      </c>
      <c r="L25" s="41">
        <f t="shared" si="0"/>
        <v>0</v>
      </c>
      <c r="M25" s="42" t="s">
        <v>18</v>
      </c>
      <c r="N25" s="43" t="s">
        <v>19</v>
      </c>
    </row>
    <row r="26" spans="1:14" ht="54.75" customHeight="1" x14ac:dyDescent="0.25">
      <c r="A26" s="46" t="str">
        <f>'[1]FUNZ STRUM'!B6</f>
        <v>FUNZIONISTRUMENTALI</v>
      </c>
      <c r="B26" s="38"/>
      <c r="C26" s="38">
        <f>'[1]FUNZ STRUM'!J19</f>
        <v>0</v>
      </c>
      <c r="D26" s="38"/>
      <c r="E26" s="44">
        <f>'[1]FUNZ STRUM'!K19</f>
        <v>5959.21</v>
      </c>
      <c r="F26" s="44">
        <f>'[1]FUNZ STRUM'!L19</f>
        <v>524.41048000000001</v>
      </c>
      <c r="G26" s="44">
        <f>'[1]FUNZ STRUM'!M19</f>
        <v>20.857234999999999</v>
      </c>
      <c r="H26" s="44">
        <f>'[1]FUNZ STRUM'!N19</f>
        <v>5413.942285000001</v>
      </c>
      <c r="I26" s="44">
        <f>'[1]FUNZ STRUM'!O19</f>
        <v>1461.7644169500004</v>
      </c>
      <c r="J26" s="44">
        <f>'[1]FUNZ STRUM'!P19</f>
        <v>3952.1778680500006</v>
      </c>
      <c r="K26" s="45">
        <v>5959.21</v>
      </c>
      <c r="L26" s="41">
        <f t="shared" si="0"/>
        <v>0</v>
      </c>
      <c r="M26" s="42"/>
      <c r="N26" s="43">
        <v>43308</v>
      </c>
    </row>
    <row r="27" spans="1:14" ht="36.75" customHeight="1" x14ac:dyDescent="0.25">
      <c r="A27" s="46" t="str">
        <f>'[1]incarichi specifici'!B6</f>
        <v>INCARICHI SPECIFICI</v>
      </c>
      <c r="B27" s="37">
        <v>0</v>
      </c>
      <c r="C27" s="38">
        <v>0</v>
      </c>
      <c r="D27" s="38">
        <f>'[1]incarichi specifici'!K16</f>
        <v>0</v>
      </c>
      <c r="E27" s="44">
        <f>'[1]incarichi specifici'!L16</f>
        <v>2999.99</v>
      </c>
      <c r="F27" s="44">
        <f>'[1]incarichi specifici'!M16</f>
        <v>264</v>
      </c>
      <c r="G27" s="44">
        <f>'[1]incarichi specifici'!N16</f>
        <v>10.5</v>
      </c>
      <c r="H27" s="44">
        <f>'[1]incarichi specifici'!O16</f>
        <v>2725.5</v>
      </c>
      <c r="I27" s="44">
        <f>'[1]incarichi specifici'!P16</f>
        <v>735.88499999999999</v>
      </c>
      <c r="J27" s="44">
        <f>'[1]incarichi specifici'!Q16</f>
        <v>1989.6149999999998</v>
      </c>
      <c r="K27" s="45">
        <v>2999.99</v>
      </c>
      <c r="L27" s="41">
        <f t="shared" si="0"/>
        <v>0</v>
      </c>
      <c r="M27" s="42"/>
      <c r="N27" s="43">
        <v>43308</v>
      </c>
    </row>
    <row r="28" spans="1:14" ht="36" x14ac:dyDescent="0.25">
      <c r="A28" s="46" t="str">
        <f>'[1]STRAORD ATA AL 30.6'!B7</f>
        <v>STRAORDINARIO ATA ESTENSIVO</v>
      </c>
      <c r="B28" s="37"/>
      <c r="C28" s="38"/>
      <c r="D28" s="38">
        <f>'[1]STRAORD ATA AL 30.6'!F60</f>
        <v>815</v>
      </c>
      <c r="E28" s="44">
        <f>'[1]STRAORD ATA AL 30.6'!G60</f>
        <v>10872.5</v>
      </c>
      <c r="F28" s="44">
        <f>'[1]STRAORD ATA AL 30.6'!H60</f>
        <v>956.7800000000002</v>
      </c>
      <c r="G28" s="44">
        <f>'[1]STRAORD ATA AL 30.6'!I60</f>
        <v>38.053750000000001</v>
      </c>
      <c r="H28" s="44">
        <f>'[1]STRAORD ATA AL 30.6'!J60</f>
        <v>9877.6662500000002</v>
      </c>
      <c r="I28" s="44">
        <f>'[1]STRAORD ATA AL 30.6'!K60</f>
        <v>2666.9698874999999</v>
      </c>
      <c r="J28" s="44">
        <f>'[1]STRAORD ATA AL 30.6'!L60</f>
        <v>7210.6963624999999</v>
      </c>
      <c r="K28" s="45">
        <v>10872.5</v>
      </c>
      <c r="L28" s="41">
        <f t="shared" si="0"/>
        <v>0</v>
      </c>
      <c r="M28" s="42">
        <v>16162636</v>
      </c>
      <c r="N28" s="43">
        <v>43299</v>
      </c>
    </row>
    <row r="29" spans="1:14" ht="50.25" customHeight="1" x14ac:dyDescent="0.25">
      <c r="A29" s="47" t="str">
        <f>'[1]PROGETTO CIACK'!D8</f>
        <v>PROGETTO CIACK</v>
      </c>
      <c r="B29" s="30">
        <f>'[1]PROGETTO CIACK'!D25</f>
        <v>0</v>
      </c>
      <c r="C29" s="30"/>
      <c r="D29" s="30"/>
      <c r="E29" s="31">
        <f>'[1]PROGETTO CIACK'!K25</f>
        <v>770</v>
      </c>
      <c r="F29" s="31">
        <f>'[1]PROGETTO CIACK'!L25</f>
        <v>67.759999999999991</v>
      </c>
      <c r="G29" s="31">
        <f>'[1]PROGETTO CIACK'!M25</f>
        <v>2.6950000000000003</v>
      </c>
      <c r="H29" s="31">
        <f>'[1]PROGETTO CIACK'!N25</f>
        <v>699.54500000000007</v>
      </c>
      <c r="I29" s="31">
        <f>'[1]PROGETTO CIACK'!O25</f>
        <v>188.87715</v>
      </c>
      <c r="J29" s="31">
        <f>'[1]PROGETTO CIACK'!P25</f>
        <v>510.66785000000004</v>
      </c>
      <c r="K29" s="48">
        <v>770</v>
      </c>
      <c r="L29" s="41">
        <f t="shared" si="0"/>
        <v>0</v>
      </c>
      <c r="M29" s="34"/>
      <c r="N29" s="49"/>
    </row>
    <row r="30" spans="1:14" ht="42" customHeight="1" x14ac:dyDescent="0.25">
      <c r="A30" s="46" t="str">
        <f>'[1]REF CLIL'!B5</f>
        <v>REFERENTE CLIL</v>
      </c>
      <c r="B30" s="37"/>
      <c r="C30" s="38">
        <f>'[1]REF CLIL'!F12</f>
        <v>0</v>
      </c>
      <c r="D30" s="38"/>
      <c r="E30" s="44">
        <f>'[1]REF CLIL'!K12</f>
        <v>805</v>
      </c>
      <c r="F30" s="44">
        <f>'[1]REF CLIL'!L12</f>
        <v>70.84</v>
      </c>
      <c r="G30" s="44">
        <f>'[1]REF CLIL'!M12</f>
        <v>2.8174999999999999</v>
      </c>
      <c r="H30" s="44">
        <f>'[1]REF CLIL'!N12</f>
        <v>731.34249999999997</v>
      </c>
      <c r="I30" s="44">
        <f>'[1]REF CLIL'!O12</f>
        <v>277.91014999999999</v>
      </c>
      <c r="J30" s="44">
        <f>'[1]REF CLIL'!P12</f>
        <v>453.43234999999999</v>
      </c>
      <c r="K30" s="45">
        <v>805</v>
      </c>
      <c r="L30" s="41">
        <f t="shared" si="0"/>
        <v>0</v>
      </c>
      <c r="M30" s="42"/>
      <c r="N30" s="50"/>
    </row>
    <row r="31" spans="1:14" ht="40.15" customHeight="1" x14ac:dyDescent="0.25">
      <c r="A31" s="46" t="str">
        <f>'[1]IDEI E SPORT ASCOLTO'!B5</f>
        <v>IDEI E SPORTELLO ASCOLTO</v>
      </c>
      <c r="B31" s="37"/>
      <c r="C31" s="38">
        <f>'[1]IDEI E SPORT ASCOLTO'!F21</f>
        <v>46</v>
      </c>
      <c r="D31" s="37"/>
      <c r="E31" s="44">
        <f>'[1]IDEI E SPORT ASCOLTO'!K21</f>
        <v>805</v>
      </c>
      <c r="F31" s="44">
        <f>'[1]IDEI E SPORT ASCOLTO'!L21</f>
        <v>70.84</v>
      </c>
      <c r="G31" s="44">
        <f>'[1]IDEI E SPORT ASCOLTO'!M21</f>
        <v>2.8174999999999999</v>
      </c>
      <c r="H31" s="44">
        <f>'[1]IDEI E SPORT ASCOLTO'!N21</f>
        <v>731.34249999999997</v>
      </c>
      <c r="I31" s="44">
        <f>'[1]IDEI E SPORT ASCOLTO'!O21</f>
        <v>277.91014999999999</v>
      </c>
      <c r="J31" s="44">
        <f>'[1]IDEI E SPORT ASCOLTO'!P21</f>
        <v>453.43234999999999</v>
      </c>
      <c r="K31" s="45">
        <v>805</v>
      </c>
      <c r="L31" s="41">
        <f t="shared" si="0"/>
        <v>0</v>
      </c>
      <c r="M31" s="42">
        <v>16677577</v>
      </c>
      <c r="N31" s="50"/>
    </row>
    <row r="32" spans="1:14" ht="30" customHeight="1" x14ac:dyDescent="0.25">
      <c r="A32" s="46" t="str">
        <f>'[1]progetti a 17,5'!D7</f>
        <v>PROGETTI DA €. 17,50</v>
      </c>
      <c r="B32" s="37"/>
      <c r="C32" s="38">
        <f>'[1]progetti a 17,5'!F20</f>
        <v>192</v>
      </c>
      <c r="D32" s="37"/>
      <c r="E32" s="44">
        <f>'[1]progetti a 17,5'!K20</f>
        <v>3360</v>
      </c>
      <c r="F32" s="44">
        <f>'[1]progetti a 17,5'!L20</f>
        <v>295.68</v>
      </c>
      <c r="G32" s="44">
        <f>'[1]progetti a 17,5'!M20</f>
        <v>11.759999999999998</v>
      </c>
      <c r="H32" s="44">
        <f>'[1]progetti a 17,5'!N20</f>
        <v>3052.56</v>
      </c>
      <c r="I32" s="44">
        <f>'[1]progetti a 17,5'!O20</f>
        <v>824.19119999999998</v>
      </c>
      <c r="J32" s="44">
        <f>'[1]progetti a 17,5'!P20</f>
        <v>2228.3688000000002</v>
      </c>
      <c r="K32" s="45">
        <v>3360</v>
      </c>
      <c r="L32" s="41">
        <f t="shared" si="0"/>
        <v>0</v>
      </c>
      <c r="M32" s="51"/>
      <c r="N32" s="50"/>
    </row>
    <row r="33" spans="1:14" ht="43.15" customHeight="1" x14ac:dyDescent="0.25">
      <c r="A33" s="46" t="str">
        <f>'[1]CORSI RECUPERO 2018'!B6</f>
        <v>CORSI DI RECUPERO 2018</v>
      </c>
      <c r="B33" s="37"/>
      <c r="C33" s="37">
        <f>'[1]CORSI RECUPERO 2018'!D19</f>
        <v>0</v>
      </c>
      <c r="D33" s="37"/>
      <c r="E33" s="44">
        <f>'[1]CORSI RECUPERO 2018'!K19</f>
        <v>2450</v>
      </c>
      <c r="F33" s="44">
        <f>'[1]CORSI RECUPERO 2018'!L19</f>
        <v>215.60000000000005</v>
      </c>
      <c r="G33" s="44">
        <f>'[1]CORSI RECUPERO 2018'!M19</f>
        <v>8.5749999999999993</v>
      </c>
      <c r="H33" s="44">
        <f>'[1]CORSI RECUPERO 2018'!N19</f>
        <v>2225.8249999999998</v>
      </c>
      <c r="I33" s="44">
        <f>'[1]CORSI RECUPERO 2018'!O19</f>
        <v>845.81349999999998</v>
      </c>
      <c r="J33" s="44">
        <f>'[1]CORSI RECUPERO 2018'!P19</f>
        <v>1380.0115000000001</v>
      </c>
      <c r="K33" s="45">
        <v>2450</v>
      </c>
      <c r="L33" s="41">
        <f t="shared" si="0"/>
        <v>0</v>
      </c>
      <c r="M33" s="52"/>
      <c r="N33" s="50"/>
    </row>
    <row r="34" spans="1:14" ht="72" customHeight="1" x14ac:dyDescent="0.25">
      <c r="A34" s="53" t="str">
        <f>'[1]STRAORD ATA LUGLIO AGOSTO'!B5</f>
        <v>STRAORDINARIO ATA ESTENSIVO di  LUGLIO - AGOSTO 2018 e conguagli fine anno</v>
      </c>
      <c r="B34" s="37"/>
      <c r="C34" s="37"/>
      <c r="D34" s="54">
        <f>'[1]STRAORD ATA LUGLIO AGOSTO'!E10</f>
        <v>42</v>
      </c>
      <c r="E34" s="44">
        <f>'[1]STRAORD ATA LUGLIO AGOSTO'!F10</f>
        <v>609</v>
      </c>
      <c r="F34" s="44">
        <f>'[1]STRAORD ATA LUGLIO AGOSTO'!G10</f>
        <v>53.591999999999999</v>
      </c>
      <c r="G34" s="44">
        <f>'[1]STRAORD ATA LUGLIO AGOSTO'!H10</f>
        <v>2.1315</v>
      </c>
      <c r="H34" s="44">
        <f>'[1]STRAORD ATA LUGLIO AGOSTO'!I10</f>
        <v>553.27650000000006</v>
      </c>
      <c r="I34" s="44">
        <f>'[1]STRAORD ATA LUGLIO AGOSTO'!J10</f>
        <v>149.38465500000001</v>
      </c>
      <c r="J34" s="44">
        <f>'[1]STRAORD ATA LUGLIO AGOSTO'!K10</f>
        <v>403.89184499999999</v>
      </c>
      <c r="K34" s="45">
        <v>609</v>
      </c>
      <c r="L34" s="41">
        <f t="shared" si="0"/>
        <v>0</v>
      </c>
      <c r="M34" s="52"/>
      <c r="N34" s="50"/>
    </row>
    <row r="35" spans="1:14" ht="56.25" customHeight="1" x14ac:dyDescent="0.25">
      <c r="A35" s="46" t="str">
        <f>'[1]DSGA SOSTITUZIONE FIGURE SISTEM'!B5</f>
        <v>IND  DIR ARRETRATI E SOSTITUZIONE FIGURE DI SISTEMA</v>
      </c>
      <c r="B35" s="37"/>
      <c r="C35" s="38"/>
      <c r="D35" s="38">
        <f>E35/18.45</f>
        <v>121.55013550135502</v>
      </c>
      <c r="E35" s="44">
        <f>'[1]DSGA SOSTITUZIONE FIGURE SISTEM'!F14</f>
        <v>2242.6</v>
      </c>
      <c r="F35" s="44">
        <f>'[1]DSGA SOSTITUZIONE FIGURE SISTEM'!G14</f>
        <v>197.34880000000001</v>
      </c>
      <c r="G35" s="44">
        <f>'[1]DSGA SOSTITUZIONE FIGURE SISTEM'!H14</f>
        <v>7.8491</v>
      </c>
      <c r="H35" s="44">
        <f>'[1]DSGA SOSTITUZIONE FIGURE SISTEM'!I14</f>
        <v>2037.4021000000002</v>
      </c>
      <c r="I35" s="44">
        <f>'[1]DSGA SOSTITUZIONE FIGURE SISTEM'!J14</f>
        <v>774.21279800000002</v>
      </c>
      <c r="J35" s="44">
        <f>'[1]DSGA SOSTITUZIONE FIGURE SISTEM'!K14</f>
        <v>1263.1893020000002</v>
      </c>
      <c r="K35" s="45">
        <f>255.65+766.95+813.33+406.67</f>
        <v>2242.6</v>
      </c>
      <c r="L35" s="41">
        <f t="shared" si="0"/>
        <v>0</v>
      </c>
      <c r="M35" s="52"/>
      <c r="N35" s="50"/>
    </row>
    <row r="36" spans="1:14" ht="36" customHeight="1" x14ac:dyDescent="0.25">
      <c r="A36" s="46" t="str">
        <f>'[1]Coordinatori classe +'!B5</f>
        <v>COORDINATORI DI CLASSE E DIPARTIMENTI E NIV</v>
      </c>
      <c r="B36" s="37"/>
      <c r="C36" s="38">
        <f>'[1]Coordinatori classe +'!D48</f>
        <v>251</v>
      </c>
      <c r="D36" s="37"/>
      <c r="E36" s="44">
        <f>'[1]Coordinatori classe +'!I48</f>
        <v>4392.5</v>
      </c>
      <c r="F36" s="44">
        <f>'[1]Coordinatori classe +'!J48</f>
        <v>386.53999999999996</v>
      </c>
      <c r="G36" s="44">
        <f>'[1]Coordinatori classe +'!K48</f>
        <v>15.373750000000003</v>
      </c>
      <c r="H36" s="44">
        <f>'[1]Coordinatori classe +'!L48</f>
        <v>3990.5862500000007</v>
      </c>
      <c r="I36" s="44">
        <f>'[1]Coordinatori classe +'!M48</f>
        <v>1077.4582875000003</v>
      </c>
      <c r="J36" s="44">
        <f>'[1]Coordinatori classe +'!N48</f>
        <v>2913.1279624999993</v>
      </c>
      <c r="K36" s="45">
        <v>4392.5</v>
      </c>
      <c r="L36" s="41">
        <f t="shared" si="0"/>
        <v>0</v>
      </c>
      <c r="M36" s="3">
        <v>16604346</v>
      </c>
      <c r="N36" s="50">
        <v>43321</v>
      </c>
    </row>
    <row r="37" spans="1:14" ht="38.450000000000003" customHeight="1" x14ac:dyDescent="0.25">
      <c r="A37" s="46" t="str">
        <f>[1]O.E.!B6</f>
        <v>SOSTITUZIONE COLLEGHI ASSENTI</v>
      </c>
      <c r="B37" s="37">
        <f>[1]O.E.!D48</f>
        <v>9</v>
      </c>
      <c r="C37" s="37"/>
      <c r="D37" s="37"/>
      <c r="E37" s="44">
        <f>[1]O.E.!K48</f>
        <v>243.81450000000001</v>
      </c>
      <c r="F37" s="44">
        <f>[1]O.E.!L48</f>
        <v>21.455676000000004</v>
      </c>
      <c r="G37" s="44">
        <f>[1]O.E.!M48</f>
        <v>0.85335074999999994</v>
      </c>
      <c r="H37" s="44">
        <f>[1]O.E.!N48</f>
        <v>221.50547325000002</v>
      </c>
      <c r="I37" s="44">
        <f>[1]O.E.!O48</f>
        <v>84.172079835000005</v>
      </c>
      <c r="J37" s="44">
        <f>[1]O.E.!P48</f>
        <v>137.33339341499999</v>
      </c>
      <c r="K37" s="45">
        <v>243.81</v>
      </c>
      <c r="L37" s="41">
        <f t="shared" si="0"/>
        <v>4.500000000007276E-3</v>
      </c>
      <c r="M37" s="42"/>
      <c r="N37" s="50"/>
    </row>
    <row r="38" spans="1:14" ht="38.450000000000003" customHeight="1" x14ac:dyDescent="0.25">
      <c r="A38" s="46" t="str">
        <f>'[1]INTEGRAZIONI DOCENTI'!B5</f>
        <v>COMPENSI VARI - integrazione di sett. 18</v>
      </c>
      <c r="B38" s="37"/>
      <c r="C38" s="37"/>
      <c r="D38" s="37"/>
      <c r="E38" s="44">
        <f>'[1]INTEGRAZIONI DOCENTI'!E31</f>
        <v>875</v>
      </c>
      <c r="F38" s="44">
        <f>'[1]INTEGRAZIONI DOCENTI'!F31</f>
        <v>77</v>
      </c>
      <c r="G38" s="44">
        <f>'[1]INTEGRAZIONI DOCENTI'!G31</f>
        <v>3.0625</v>
      </c>
      <c r="H38" s="44">
        <f>'[1]INTEGRAZIONI DOCENTI'!H31</f>
        <v>794.93750000000011</v>
      </c>
      <c r="I38" s="44">
        <f>'[1]INTEGRAZIONI DOCENTI'!I31</f>
        <v>214.63312500000001</v>
      </c>
      <c r="J38" s="44">
        <f>'[1]INTEGRAZIONI DOCENTI'!J31</f>
        <v>580.30437499999994</v>
      </c>
      <c r="K38" s="44">
        <v>875</v>
      </c>
      <c r="L38" s="41">
        <f t="shared" si="0"/>
        <v>0</v>
      </c>
      <c r="M38" s="42"/>
      <c r="N38" s="50">
        <v>43353</v>
      </c>
    </row>
    <row r="39" spans="1:14" ht="69.75" customHeight="1" x14ac:dyDescent="0.25">
      <c r="A39" s="46" t="str">
        <f>'[1]STRAORD doc ata arretrati'!B5</f>
        <v xml:space="preserve">STRAORDINARIO DOC. E ATA DI COMPETENZA E ANNI PRECEDENTI </v>
      </c>
      <c r="B39" s="37"/>
      <c r="C39" s="37"/>
      <c r="D39" s="37"/>
      <c r="E39" s="44">
        <f>'[1]STRAORD doc ata arretrati'!F13</f>
        <v>2667.25</v>
      </c>
      <c r="F39" s="44">
        <f>'[1]STRAORD doc ata arretrati'!G13</f>
        <v>234.71800000000002</v>
      </c>
      <c r="G39" s="44">
        <f>'[1]STRAORD doc ata arretrati'!H13</f>
        <v>9.3353749999999991</v>
      </c>
      <c r="H39" s="44">
        <f>'[1]STRAORD doc ata arretrati'!I13</f>
        <v>2423.1966249999996</v>
      </c>
      <c r="I39" s="44">
        <f>'[1]STRAORD doc ata arretrati'!J13</f>
        <v>654.26308874999995</v>
      </c>
      <c r="J39" s="44">
        <f>'[1]STRAORD doc ata arretrati'!K13</f>
        <v>1768.9335362499996</v>
      </c>
      <c r="K39" s="44">
        <v>2667.25</v>
      </c>
      <c r="L39" s="41">
        <f t="shared" si="0"/>
        <v>0</v>
      </c>
      <c r="M39" s="42"/>
      <c r="N39" s="50">
        <v>43362</v>
      </c>
    </row>
    <row r="40" spans="1:14" ht="41.25" customHeight="1" x14ac:dyDescent="0.25">
      <c r="A40" s="53" t="str">
        <f>'[1]PROGETTI A 35EUIRO'!B5</f>
        <v>PROGETTI VARI</v>
      </c>
      <c r="B40" s="37"/>
      <c r="C40" s="37"/>
      <c r="D40" s="37"/>
      <c r="E40" s="44">
        <f>'[1]PROGETTI A 35EUIRO'!E31</f>
        <v>4970</v>
      </c>
      <c r="F40" s="44">
        <f>'[1]PROGETTI A 35EUIRO'!F31</f>
        <v>283.36000000000007</v>
      </c>
      <c r="G40" s="44">
        <f>'[1]PROGETTI A 35EUIRO'!G31</f>
        <v>11.269999999999996</v>
      </c>
      <c r="H40" s="44">
        <f>'[1]PROGETTI A 35EUIRO'!H31</f>
        <v>2925.369999999999</v>
      </c>
      <c r="I40" s="44">
        <f>'[1]PROGETTI A 35EUIRO'!I31</f>
        <v>789.84990000000028</v>
      </c>
      <c r="J40" s="44">
        <f>'[1]PROGETTI A 35EUIRO'!J31</f>
        <v>2135.5200999999997</v>
      </c>
      <c r="K40" s="44">
        <v>4970</v>
      </c>
      <c r="L40" s="41">
        <f t="shared" si="0"/>
        <v>0</v>
      </c>
      <c r="M40" s="42"/>
      <c r="N40" s="50">
        <v>43340</v>
      </c>
    </row>
    <row r="41" spans="1:14" ht="54" x14ac:dyDescent="0.25">
      <c r="A41" s="55" t="str">
        <f>'[1]straord ata doc sosp x accerta'!B5</f>
        <v>STRAORDINARIO ATA 2017/18 e precedenti sospeso e minori assegnazioni</v>
      </c>
      <c r="B41" s="37"/>
      <c r="C41" s="37"/>
      <c r="D41" s="37"/>
      <c r="E41" s="44">
        <f>'[1]straord ata doc sosp x accerta'!F14</f>
        <v>7727.2199999999993</v>
      </c>
      <c r="F41" s="44">
        <f>'[1]straord ata doc sosp x accerta'!G14</f>
        <v>679.99535999999989</v>
      </c>
      <c r="G41" s="44">
        <f>'[1]straord ata doc sosp x accerta'!H14</f>
        <v>27.045269999999995</v>
      </c>
      <c r="H41" s="44">
        <f>'[1]straord ata doc sosp x accerta'!I14</f>
        <v>7020.1793699999989</v>
      </c>
      <c r="I41" s="44">
        <f>'[1]straord ata doc sosp x accerta'!J14</f>
        <v>1895.4484299000001</v>
      </c>
      <c r="J41" s="44">
        <f>'[1]straord ata doc sosp x accerta'!K14</f>
        <v>5124.7309400999993</v>
      </c>
      <c r="K41" s="44">
        <f>'[1]straord ata doc sosp x accerta'!F8+'[1]straord ata doc sosp x accerta'!F9+'[1]straord ata doc sosp x accerta'!F10+'[1]straord ata doc sosp x accerta'!F11+'[1]straord ata doc sosp x accerta'!F12</f>
        <v>1634.75</v>
      </c>
      <c r="L41" s="44">
        <f t="shared" si="0"/>
        <v>6092.4699999999993</v>
      </c>
      <c r="M41" s="56"/>
      <c r="N41" s="50"/>
    </row>
    <row r="42" spans="1:14" ht="43.9" customHeight="1" thickBot="1" x14ac:dyDescent="0.3">
      <c r="A42" s="57" t="s">
        <v>20</v>
      </c>
      <c r="B42" s="58">
        <f t="shared" ref="B42:D42" si="1">SUM(B17:B40)</f>
        <v>130</v>
      </c>
      <c r="C42" s="59">
        <f t="shared" si="1"/>
        <v>1746</v>
      </c>
      <c r="D42" s="59">
        <f t="shared" si="1"/>
        <v>1323.4150003662198</v>
      </c>
      <c r="E42" s="60">
        <f>SUM(E17:E41)</f>
        <v>91972.494500000001</v>
      </c>
      <c r="F42" s="60">
        <f t="shared" ref="F42:J42" si="2">SUM(F17:F41)</f>
        <v>7589.4028760000001</v>
      </c>
      <c r="G42" s="60">
        <f t="shared" si="2"/>
        <v>301.85125074999991</v>
      </c>
      <c r="H42" s="60">
        <f t="shared" si="2"/>
        <v>78351.960373249982</v>
      </c>
      <c r="I42" s="60">
        <f t="shared" si="2"/>
        <v>22560.418653534998</v>
      </c>
      <c r="J42" s="60">
        <f t="shared" si="2"/>
        <v>55791.541719715002</v>
      </c>
      <c r="K42" s="60">
        <f>SUM(K17:K41)</f>
        <v>85180.02</v>
      </c>
      <c r="L42" s="60">
        <f t="shared" ref="L42" si="3">SUM(L17:L41)</f>
        <v>6792.4744999999994</v>
      </c>
      <c r="M42" s="61">
        <f>SUM(K42:L42)</f>
        <v>91972.494500000001</v>
      </c>
    </row>
    <row r="43" spans="1:14" ht="28.9" customHeight="1" x14ac:dyDescent="0.25">
      <c r="A43" s="62" t="s">
        <v>21</v>
      </c>
      <c r="B43" s="62"/>
      <c r="C43" s="62"/>
      <c r="D43" s="63"/>
      <c r="E43" s="64"/>
      <c r="F43" s="19"/>
      <c r="G43" s="19"/>
      <c r="H43" s="65"/>
      <c r="I43" s="65"/>
      <c r="J43" s="66"/>
      <c r="K43" s="66"/>
      <c r="L43" s="67"/>
      <c r="M43" s="68"/>
    </row>
    <row r="44" spans="1:14" ht="27.6" customHeight="1" x14ac:dyDescent="0.25">
      <c r="A44" s="15" t="s">
        <v>22</v>
      </c>
      <c r="B44" s="15"/>
      <c r="C44" s="15"/>
      <c r="D44" s="69"/>
      <c r="E44" s="19"/>
      <c r="F44" s="19"/>
      <c r="G44" s="19"/>
      <c r="H44" s="19"/>
      <c r="I44" s="19"/>
      <c r="J44" s="17"/>
      <c r="K44" s="70"/>
      <c r="L44" s="71"/>
      <c r="M44" s="68"/>
    </row>
    <row r="45" spans="1:14" ht="13.5" thickBot="1" x14ac:dyDescent="0.25">
      <c r="A45" s="72"/>
      <c r="B45" s="73"/>
      <c r="C45" s="69"/>
      <c r="D45" s="69"/>
      <c r="E45" s="17"/>
      <c r="F45" s="17"/>
      <c r="G45" s="17"/>
      <c r="H45" s="17"/>
      <c r="I45" s="17"/>
      <c r="J45" s="17"/>
      <c r="K45" s="70"/>
      <c r="L45" s="71"/>
      <c r="M45" s="68"/>
    </row>
    <row r="46" spans="1:14" ht="64.150000000000006" customHeight="1" thickBot="1" x14ac:dyDescent="0.4">
      <c r="A46" s="74" t="s">
        <v>23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6"/>
    </row>
    <row r="47" spans="1:14" ht="126.75" thickBot="1" x14ac:dyDescent="0.3">
      <c r="A47" s="77"/>
      <c r="B47" s="78" t="s">
        <v>24</v>
      </c>
      <c r="C47" s="79" t="s">
        <v>25</v>
      </c>
      <c r="D47" s="80" t="s">
        <v>26</v>
      </c>
      <c r="E47" s="79"/>
      <c r="F47" s="81"/>
      <c r="G47" s="82"/>
      <c r="H47" s="81" t="s">
        <v>27</v>
      </c>
      <c r="I47" s="82" t="s">
        <v>28</v>
      </c>
      <c r="J47" s="78" t="s">
        <v>29</v>
      </c>
      <c r="K47" s="83" t="s">
        <v>30</v>
      </c>
      <c r="L47" s="78" t="s">
        <v>31</v>
      </c>
    </row>
    <row r="48" spans="1:14" s="92" customFormat="1" ht="45.75" customHeight="1" x14ac:dyDescent="0.2">
      <c r="A48" s="84" t="s">
        <v>32</v>
      </c>
      <c r="B48" s="85">
        <f>7786.91/100*75</f>
        <v>5840.1824999999999</v>
      </c>
      <c r="C48" s="86">
        <f>((71645.39-C50)/100*75)+865.17</f>
        <v>51620.504999999997</v>
      </c>
      <c r="D48" s="86">
        <v>0</v>
      </c>
      <c r="E48" s="86"/>
      <c r="F48" s="85"/>
      <c r="G48" s="85"/>
      <c r="H48" s="85">
        <f>B48+C48+D48+E48+F48+G48</f>
        <v>57460.6875</v>
      </c>
      <c r="I48" s="87">
        <f>E17+E18+E20+E22+E23+E24+E29+E30+E31+E32+E33+E36+E38+1260+E40+'[1]straord ata doc sosp x accerta'!F11+'[1]straord ata doc sosp x accerta'!F12+('[1]straord ata doc sosp x accerta'!F13/2)</f>
        <v>49508.735000000001</v>
      </c>
      <c r="J48" s="88">
        <f>H48-I48</f>
        <v>7951.9524999999994</v>
      </c>
      <c r="K48" s="89">
        <f>E48</f>
        <v>0</v>
      </c>
      <c r="L48" s="90">
        <f>J48-K48</f>
        <v>7951.9524999999994</v>
      </c>
      <c r="M48" s="91"/>
      <c r="N48" s="91"/>
    </row>
    <row r="49" spans="1:14" s="92" customFormat="1" ht="42.75" customHeight="1" x14ac:dyDescent="0.2">
      <c r="A49" s="93" t="s">
        <v>33</v>
      </c>
      <c r="B49" s="85">
        <f>7786.91/100*25</f>
        <v>1946.7275</v>
      </c>
      <c r="C49" s="86">
        <f>((71645.39-C50)/100*25)-865.17</f>
        <v>16053.275</v>
      </c>
      <c r="D49" s="94"/>
      <c r="E49" s="86"/>
      <c r="F49" s="95"/>
      <c r="G49" s="95"/>
      <c r="H49" s="85">
        <f>B49+C49+D49+E49+F49+G49</f>
        <v>18000.002499999999</v>
      </c>
      <c r="I49" s="96">
        <f>E28+E34+E35+1407.25+'[1]straord ata doc sosp x accerta'!F8+'[1]straord ata doc sosp x accerta'!F9+'[1]straord ata doc sosp x accerta'!F10+('[1]straord ata doc sosp x accerta'!F13/2)</f>
        <v>19357.334999999999</v>
      </c>
      <c r="J49" s="88">
        <f t="shared" ref="J49:J50" si="4">H49-I49</f>
        <v>-1357.3325000000004</v>
      </c>
      <c r="K49" s="89">
        <v>-1353.58</v>
      </c>
      <c r="L49" s="97">
        <f>J49-K49</f>
        <v>-3.7525000000005093</v>
      </c>
      <c r="M49" s="91"/>
      <c r="N49" s="91"/>
    </row>
    <row r="50" spans="1:14" s="92" customFormat="1" ht="37.15" customHeight="1" x14ac:dyDescent="0.2">
      <c r="A50" s="93" t="s">
        <v>34</v>
      </c>
      <c r="B50" s="85"/>
      <c r="C50" s="94">
        <v>3971.61</v>
      </c>
      <c r="D50" s="94"/>
      <c r="E50" s="94"/>
      <c r="F50" s="95"/>
      <c r="G50" s="95"/>
      <c r="H50" s="85">
        <f>B50+C50+D50+E50+F50+G50</f>
        <v>3971.61</v>
      </c>
      <c r="I50" s="96">
        <v>0</v>
      </c>
      <c r="J50" s="88">
        <f t="shared" si="4"/>
        <v>3971.61</v>
      </c>
      <c r="K50" s="98"/>
      <c r="L50" s="97">
        <f>J50-K50</f>
        <v>3971.61</v>
      </c>
      <c r="M50" s="91"/>
      <c r="N50" s="91"/>
    </row>
    <row r="51" spans="1:14" s="105" customFormat="1" ht="46.5" customHeight="1" x14ac:dyDescent="0.2">
      <c r="A51" s="99" t="s">
        <v>35</v>
      </c>
      <c r="B51" s="100">
        <f>SUM(B48:B50)</f>
        <v>7786.91</v>
      </c>
      <c r="C51" s="100">
        <f>SUM(C48:C50)</f>
        <v>71645.39</v>
      </c>
      <c r="D51" s="100">
        <f t="shared" ref="D51:L51" si="5">SUM(D48:D50)</f>
        <v>0</v>
      </c>
      <c r="E51" s="100"/>
      <c r="F51" s="100"/>
      <c r="G51" s="100">
        <f t="shared" si="5"/>
        <v>0</v>
      </c>
      <c r="H51" s="100">
        <f>SUM(H48:H50)</f>
        <v>79432.3</v>
      </c>
      <c r="I51" s="101">
        <f t="shared" si="5"/>
        <v>68866.070000000007</v>
      </c>
      <c r="J51" s="102">
        <f t="shared" si="5"/>
        <v>10566.23</v>
      </c>
      <c r="K51" s="100">
        <f t="shared" si="5"/>
        <v>-1353.58</v>
      </c>
      <c r="L51" s="103">
        <f t="shared" si="5"/>
        <v>11919.81</v>
      </c>
      <c r="M51" s="104"/>
      <c r="N51" s="104"/>
    </row>
    <row r="52" spans="1:14" s="92" customFormat="1" ht="41.25" customHeight="1" x14ac:dyDescent="0.2">
      <c r="A52" s="93" t="s">
        <v>36</v>
      </c>
      <c r="B52" s="95">
        <v>0</v>
      </c>
      <c r="C52" s="106">
        <f>6380</f>
        <v>6380</v>
      </c>
      <c r="D52" s="106"/>
      <c r="E52" s="107"/>
      <c r="F52" s="95"/>
      <c r="G52" s="95"/>
      <c r="H52" s="95">
        <f>B52+C52+E52+F52+G52</f>
        <v>6380</v>
      </c>
      <c r="I52" s="96">
        <f>E19</f>
        <v>6380</v>
      </c>
      <c r="J52" s="108">
        <f>H52-I52</f>
        <v>0</v>
      </c>
      <c r="K52" s="98"/>
      <c r="L52" s="97">
        <f t="shared" ref="L52:L65" si="6">J52-K52</f>
        <v>0</v>
      </c>
      <c r="M52" s="91"/>
      <c r="N52" s="91"/>
    </row>
    <row r="53" spans="1:14" s="92" customFormat="1" ht="36" x14ac:dyDescent="0.2">
      <c r="A53" s="93" t="s">
        <v>37</v>
      </c>
      <c r="B53" s="95"/>
      <c r="C53" s="106">
        <v>1022.6</v>
      </c>
      <c r="D53" s="106"/>
      <c r="E53" s="107"/>
      <c r="F53" s="95"/>
      <c r="G53" s="95"/>
      <c r="H53" s="95">
        <f>B53+C53+E53+F53+G53</f>
        <v>1022.6</v>
      </c>
      <c r="I53" s="96">
        <v>0</v>
      </c>
      <c r="J53" s="108">
        <f>H53-I53</f>
        <v>1022.6</v>
      </c>
      <c r="K53" s="98"/>
      <c r="L53" s="97">
        <f t="shared" si="6"/>
        <v>1022.6</v>
      </c>
      <c r="M53" s="91"/>
      <c r="N53" s="91"/>
    </row>
    <row r="54" spans="1:14" s="105" customFormat="1" ht="25.15" customHeight="1" x14ac:dyDescent="0.2">
      <c r="A54" s="99" t="s">
        <v>35</v>
      </c>
      <c r="B54" s="100">
        <f>SUM(B51:B53)</f>
        <v>7786.91</v>
      </c>
      <c r="C54" s="100">
        <f t="shared" ref="C54:L54" si="7">SUM(C51:C53)</f>
        <v>79047.990000000005</v>
      </c>
      <c r="D54" s="100">
        <f t="shared" si="7"/>
        <v>0</v>
      </c>
      <c r="E54" s="100">
        <f t="shared" si="7"/>
        <v>0</v>
      </c>
      <c r="F54" s="100">
        <f t="shared" si="7"/>
        <v>0</v>
      </c>
      <c r="G54" s="100">
        <f t="shared" si="7"/>
        <v>0</v>
      </c>
      <c r="H54" s="100">
        <f t="shared" si="7"/>
        <v>86834.900000000009</v>
      </c>
      <c r="I54" s="101">
        <f t="shared" si="7"/>
        <v>75246.070000000007</v>
      </c>
      <c r="J54" s="102">
        <f t="shared" si="7"/>
        <v>11588.83</v>
      </c>
      <c r="K54" s="100">
        <f t="shared" si="7"/>
        <v>-1353.58</v>
      </c>
      <c r="L54" s="103">
        <f t="shared" si="7"/>
        <v>12942.41</v>
      </c>
      <c r="M54" s="109"/>
      <c r="N54" s="104"/>
    </row>
    <row r="55" spans="1:14" s="92" customFormat="1" ht="25.15" customHeight="1" x14ac:dyDescent="0.2">
      <c r="A55" s="93" t="s">
        <v>38</v>
      </c>
      <c r="B55" s="95"/>
      <c r="C55" s="95">
        <v>5959.21</v>
      </c>
      <c r="D55" s="95"/>
      <c r="E55" s="95"/>
      <c r="F55" s="95">
        <v>0</v>
      </c>
      <c r="G55" s="95">
        <v>0</v>
      </c>
      <c r="H55" s="95">
        <f>B55+C55+E55+F55+G55</f>
        <v>5959.21</v>
      </c>
      <c r="I55" s="96">
        <f>E26</f>
        <v>5959.21</v>
      </c>
      <c r="J55" s="108">
        <f t="shared" ref="J55:J60" si="8">H55-I55</f>
        <v>0</v>
      </c>
      <c r="K55" s="98"/>
      <c r="L55" s="97">
        <f t="shared" si="6"/>
        <v>0</v>
      </c>
      <c r="M55" s="91"/>
      <c r="N55" s="91"/>
    </row>
    <row r="56" spans="1:14" s="105" customFormat="1" ht="25.15" customHeight="1" x14ac:dyDescent="0.2">
      <c r="A56" s="99" t="s">
        <v>35</v>
      </c>
      <c r="B56" s="100">
        <f t="shared" ref="B56:I56" si="9">SUM(B54:B55)</f>
        <v>7786.91</v>
      </c>
      <c r="C56" s="100">
        <f t="shared" si="9"/>
        <v>85007.200000000012</v>
      </c>
      <c r="D56" s="100">
        <f t="shared" si="9"/>
        <v>0</v>
      </c>
      <c r="E56" s="100">
        <f t="shared" si="9"/>
        <v>0</v>
      </c>
      <c r="F56" s="100">
        <f t="shared" si="9"/>
        <v>0</v>
      </c>
      <c r="G56" s="100">
        <f t="shared" si="9"/>
        <v>0</v>
      </c>
      <c r="H56" s="100">
        <f t="shared" si="9"/>
        <v>92794.110000000015</v>
      </c>
      <c r="I56" s="101">
        <f t="shared" si="9"/>
        <v>81205.280000000013</v>
      </c>
      <c r="J56" s="110">
        <f>J54+J55</f>
        <v>11588.83</v>
      </c>
      <c r="K56" s="111">
        <f>K54+K55</f>
        <v>-1353.58</v>
      </c>
      <c r="L56" s="103">
        <f t="shared" si="6"/>
        <v>12942.41</v>
      </c>
      <c r="M56" s="104"/>
      <c r="N56" s="104"/>
    </row>
    <row r="57" spans="1:14" s="92" customFormat="1" ht="25.15" customHeight="1" x14ac:dyDescent="0.2">
      <c r="A57" s="112" t="s">
        <v>39</v>
      </c>
      <c r="B57" s="95">
        <v>0</v>
      </c>
      <c r="C57" s="113">
        <v>5241.9799999999996</v>
      </c>
      <c r="D57" s="113"/>
      <c r="E57" s="94"/>
      <c r="F57" s="95"/>
      <c r="G57" s="95"/>
      <c r="H57" s="95">
        <f>B57+C57+E57+F57+G57</f>
        <v>5241.9799999999996</v>
      </c>
      <c r="I57" s="96">
        <f>E27</f>
        <v>2999.99</v>
      </c>
      <c r="J57" s="108">
        <f t="shared" si="8"/>
        <v>2241.9899999999998</v>
      </c>
      <c r="K57" s="98">
        <v>1353.59</v>
      </c>
      <c r="L57" s="97">
        <f t="shared" si="6"/>
        <v>888.39999999999986</v>
      </c>
      <c r="M57" s="91"/>
      <c r="N57" s="91"/>
    </row>
    <row r="58" spans="1:14" s="92" customFormat="1" ht="25.15" customHeight="1" x14ac:dyDescent="0.2">
      <c r="A58" s="99" t="s">
        <v>40</v>
      </c>
      <c r="B58" s="100">
        <f t="shared" ref="B58:I58" si="10">SUM(B56:B57)</f>
        <v>7786.91</v>
      </c>
      <c r="C58" s="100">
        <f t="shared" si="10"/>
        <v>90249.180000000008</v>
      </c>
      <c r="D58" s="100">
        <f t="shared" si="10"/>
        <v>0</v>
      </c>
      <c r="E58" s="100">
        <f t="shared" si="10"/>
        <v>0</v>
      </c>
      <c r="F58" s="100">
        <f t="shared" si="10"/>
        <v>0</v>
      </c>
      <c r="G58" s="100">
        <f t="shared" si="10"/>
        <v>0</v>
      </c>
      <c r="H58" s="100">
        <f t="shared" si="10"/>
        <v>98036.090000000011</v>
      </c>
      <c r="I58" s="101">
        <f t="shared" si="10"/>
        <v>84205.270000000019</v>
      </c>
      <c r="J58" s="110">
        <f>J56+J57</f>
        <v>13830.82</v>
      </c>
      <c r="K58" s="111">
        <f>K56+K57</f>
        <v>9.9999999999909051E-3</v>
      </c>
      <c r="L58" s="103">
        <f t="shared" si="6"/>
        <v>13830.81</v>
      </c>
      <c r="M58" s="114"/>
      <c r="N58" s="91"/>
    </row>
    <row r="59" spans="1:14" s="92" customFormat="1" ht="25.15" customHeight="1" x14ac:dyDescent="0.2">
      <c r="A59" s="93" t="s">
        <v>41</v>
      </c>
      <c r="B59" s="115">
        <v>0</v>
      </c>
      <c r="C59" s="95">
        <v>4264.88</v>
      </c>
      <c r="D59" s="95"/>
      <c r="E59" s="115"/>
      <c r="F59" s="95"/>
      <c r="G59" s="115"/>
      <c r="H59" s="95">
        <f>B59+C59+D59+E59+F59+G59</f>
        <v>4264.88</v>
      </c>
      <c r="I59" s="96">
        <f>E25</f>
        <v>4261.62</v>
      </c>
      <c r="J59" s="108">
        <f t="shared" si="8"/>
        <v>3.2600000000002183</v>
      </c>
      <c r="K59" s="116"/>
      <c r="L59" s="97">
        <f t="shared" si="6"/>
        <v>3.2600000000002183</v>
      </c>
      <c r="M59" s="91"/>
      <c r="N59" s="91"/>
    </row>
    <row r="60" spans="1:14" s="92" customFormat="1" ht="18" x14ac:dyDescent="0.2">
      <c r="A60" s="93" t="s">
        <v>42</v>
      </c>
      <c r="B60" s="115">
        <v>4543.63</v>
      </c>
      <c r="C60" s="106">
        <v>3843.68</v>
      </c>
      <c r="D60" s="106"/>
      <c r="E60" s="107"/>
      <c r="F60" s="95"/>
      <c r="G60" s="115"/>
      <c r="H60" s="95">
        <f>B60+C60+D60+E60+F60+G60</f>
        <v>8387.31</v>
      </c>
      <c r="I60" s="96">
        <f>E37</f>
        <v>243.81450000000001</v>
      </c>
      <c r="J60" s="108">
        <f t="shared" si="8"/>
        <v>8143.4954999999991</v>
      </c>
      <c r="K60" s="117">
        <v>1892.22</v>
      </c>
      <c r="L60" s="97">
        <f t="shared" si="6"/>
        <v>6251.2754999999988</v>
      </c>
      <c r="M60" s="91"/>
      <c r="N60" s="91"/>
    </row>
    <row r="61" spans="1:14" s="92" customFormat="1" ht="25.15" customHeight="1" x14ac:dyDescent="0.2">
      <c r="A61" s="118" t="s">
        <v>43</v>
      </c>
      <c r="B61" s="119">
        <f t="shared" ref="B61:I61" si="11">SUM(B59:B60)</f>
        <v>4543.63</v>
      </c>
      <c r="C61" s="119">
        <f t="shared" si="11"/>
        <v>8108.5599999999995</v>
      </c>
      <c r="D61" s="119">
        <f t="shared" si="11"/>
        <v>0</v>
      </c>
      <c r="E61" s="119">
        <f t="shared" si="11"/>
        <v>0</v>
      </c>
      <c r="F61" s="119">
        <f t="shared" si="11"/>
        <v>0</v>
      </c>
      <c r="G61" s="119">
        <f t="shared" si="11"/>
        <v>0</v>
      </c>
      <c r="H61" s="119">
        <f t="shared" si="11"/>
        <v>12652.189999999999</v>
      </c>
      <c r="I61" s="120">
        <f t="shared" si="11"/>
        <v>4505.4345000000003</v>
      </c>
      <c r="J61" s="110">
        <f>J59+J60</f>
        <v>8146.7554999999993</v>
      </c>
      <c r="K61" s="111">
        <f>K59+K60</f>
        <v>1892.22</v>
      </c>
      <c r="L61" s="103">
        <f t="shared" si="6"/>
        <v>6254.535499999999</v>
      </c>
      <c r="M61" s="91"/>
      <c r="N61" s="91"/>
    </row>
    <row r="62" spans="1:14" s="92" customFormat="1" ht="37.9" customHeight="1" thickBot="1" x14ac:dyDescent="0.25">
      <c r="A62" s="121" t="s">
        <v>44</v>
      </c>
      <c r="B62" s="122">
        <f t="shared" ref="B62:K62" si="12">B58+B61</f>
        <v>12330.54</v>
      </c>
      <c r="C62" s="122">
        <f t="shared" si="12"/>
        <v>98357.74</v>
      </c>
      <c r="D62" s="122">
        <f t="shared" si="12"/>
        <v>0</v>
      </c>
      <c r="E62" s="122">
        <f t="shared" si="12"/>
        <v>0</v>
      </c>
      <c r="F62" s="122">
        <f t="shared" si="12"/>
        <v>0</v>
      </c>
      <c r="G62" s="122">
        <f t="shared" si="12"/>
        <v>0</v>
      </c>
      <c r="H62" s="122">
        <f t="shared" si="12"/>
        <v>110688.28000000001</v>
      </c>
      <c r="I62" s="123">
        <f t="shared" si="12"/>
        <v>88710.704500000022</v>
      </c>
      <c r="J62" s="124">
        <f t="shared" si="12"/>
        <v>21977.575499999999</v>
      </c>
      <c r="K62" s="125">
        <f t="shared" si="12"/>
        <v>1892.23</v>
      </c>
      <c r="L62" s="126">
        <f t="shared" si="6"/>
        <v>20085.345499999999</v>
      </c>
      <c r="M62" s="91"/>
      <c r="N62" s="91"/>
    </row>
    <row r="63" spans="1:14" s="92" customFormat="1" ht="41.25" customHeight="1" thickBot="1" x14ac:dyDescent="0.25">
      <c r="A63" s="79" t="s">
        <v>45</v>
      </c>
      <c r="B63" s="127"/>
      <c r="C63" s="127">
        <v>6161.16</v>
      </c>
      <c r="D63" s="122"/>
      <c r="E63" s="119"/>
      <c r="F63" s="119"/>
      <c r="G63" s="119"/>
      <c r="H63" s="122">
        <f>B63+C63+D63+E63+F63+G63</f>
        <v>6161.16</v>
      </c>
      <c r="I63" s="120">
        <f>E21</f>
        <v>3261.79</v>
      </c>
      <c r="J63" s="108">
        <f>H63-I63</f>
        <v>2899.37</v>
      </c>
      <c r="K63" s="100"/>
      <c r="L63" s="126">
        <f t="shared" si="6"/>
        <v>2899.37</v>
      </c>
      <c r="M63" s="114"/>
      <c r="N63" s="91"/>
    </row>
    <row r="64" spans="1:14" s="92" customFormat="1" ht="39" customHeight="1" thickBot="1" x14ac:dyDescent="0.25">
      <c r="A64" s="128" t="s">
        <v>46</v>
      </c>
      <c r="B64" s="128"/>
      <c r="C64" s="129">
        <v>12547.51</v>
      </c>
      <c r="D64" s="122">
        <f t="shared" ref="D64" si="13">D60+D63</f>
        <v>0</v>
      </c>
      <c r="E64" s="130"/>
      <c r="F64" s="131"/>
      <c r="G64" s="131"/>
      <c r="H64" s="100">
        <f>B64+C64+D64+E64+F64+G64</f>
        <v>12547.51</v>
      </c>
      <c r="I64" s="132"/>
      <c r="J64" s="110">
        <f t="shared" ref="J64" si="14">H64-I64</f>
        <v>12547.51</v>
      </c>
      <c r="K64" s="122"/>
      <c r="L64" s="103">
        <f t="shared" si="6"/>
        <v>12547.51</v>
      </c>
      <c r="M64" s="133"/>
      <c r="N64" s="91"/>
    </row>
    <row r="65" spans="1:14" s="92" customFormat="1" ht="100.9" customHeight="1" x14ac:dyDescent="0.2">
      <c r="A65" s="134"/>
      <c r="B65" s="131"/>
      <c r="C65" s="131">
        <v>0</v>
      </c>
      <c r="D65" s="131">
        <v>0</v>
      </c>
      <c r="E65" s="131"/>
      <c r="F65" s="131"/>
      <c r="G65" s="131"/>
      <c r="H65" s="122">
        <f>B65+C65+D65+E65+F65+G65</f>
        <v>0</v>
      </c>
      <c r="I65" s="132"/>
      <c r="J65" s="108">
        <f>H65-I65</f>
        <v>0</v>
      </c>
      <c r="K65" s="122"/>
      <c r="L65" s="126">
        <f t="shared" si="6"/>
        <v>0</v>
      </c>
      <c r="M65" s="91"/>
      <c r="N65" s="91"/>
    </row>
    <row r="66" spans="1:14" s="92" customFormat="1" ht="37.9" customHeight="1" thickBot="1" x14ac:dyDescent="0.25">
      <c r="A66" s="135" t="s">
        <v>44</v>
      </c>
      <c r="B66" s="130">
        <f>B62+B63+B64+B65</f>
        <v>12330.54</v>
      </c>
      <c r="C66" s="130">
        <f t="shared" ref="C66:L66" si="15">C62+C63+C64+C65</f>
        <v>117066.41</v>
      </c>
      <c r="D66" s="130">
        <f t="shared" si="15"/>
        <v>0</v>
      </c>
      <c r="E66" s="130">
        <f t="shared" si="15"/>
        <v>0</v>
      </c>
      <c r="F66" s="130">
        <f t="shared" si="15"/>
        <v>0</v>
      </c>
      <c r="G66" s="130">
        <f t="shared" si="15"/>
        <v>0</v>
      </c>
      <c r="H66" s="130">
        <f t="shared" si="15"/>
        <v>129396.95000000001</v>
      </c>
      <c r="I66" s="136">
        <f t="shared" si="15"/>
        <v>91972.494500000015</v>
      </c>
      <c r="J66" s="137">
        <f t="shared" si="15"/>
        <v>37424.455499999996</v>
      </c>
      <c r="K66" s="130">
        <f t="shared" si="15"/>
        <v>1892.23</v>
      </c>
      <c r="L66" s="138">
        <f t="shared" si="15"/>
        <v>35532.2255</v>
      </c>
      <c r="M66" s="114"/>
      <c r="N66" s="91"/>
    </row>
    <row r="67" spans="1:14" ht="18" x14ac:dyDescent="0.25">
      <c r="A67" s="139" t="s">
        <v>47</v>
      </c>
      <c r="B67" s="140"/>
      <c r="C67" s="140"/>
      <c r="D67" s="140"/>
      <c r="E67" s="141"/>
      <c r="F67" s="140"/>
      <c r="G67" s="140"/>
      <c r="H67" s="140"/>
      <c r="I67" s="140"/>
      <c r="J67" s="140"/>
      <c r="K67" s="140"/>
      <c r="L67" s="140"/>
    </row>
    <row r="68" spans="1:14" ht="18" x14ac:dyDescent="0.25">
      <c r="A68" s="62" t="s">
        <v>21</v>
      </c>
      <c r="B68" s="62"/>
      <c r="C68" s="62"/>
      <c r="D68" s="140"/>
      <c r="E68" s="141"/>
      <c r="F68" s="140"/>
      <c r="G68" s="140"/>
      <c r="H68" s="140"/>
      <c r="I68" s="140"/>
      <c r="J68" s="140"/>
      <c r="K68" s="141"/>
      <c r="L68" s="140"/>
    </row>
    <row r="69" spans="1:14" ht="18" x14ac:dyDescent="0.25">
      <c r="A69" s="15" t="s">
        <v>22</v>
      </c>
      <c r="B69" s="15"/>
      <c r="C69" s="15"/>
      <c r="D69" s="140"/>
      <c r="E69" s="140"/>
      <c r="F69" s="140"/>
      <c r="G69" s="140"/>
      <c r="H69" s="140"/>
      <c r="I69" s="140"/>
      <c r="J69" s="140"/>
      <c r="K69" s="140"/>
      <c r="L69" s="140"/>
    </row>
  </sheetData>
  <mergeCells count="15">
    <mergeCell ref="A46:L46"/>
    <mergeCell ref="A68:C68"/>
    <mergeCell ref="A69:C69"/>
    <mergeCell ref="E9:F9"/>
    <mergeCell ref="E10:F10"/>
    <mergeCell ref="E11:F11"/>
    <mergeCell ref="E12:F12"/>
    <mergeCell ref="A43:C43"/>
    <mergeCell ref="A44:C44"/>
    <mergeCell ref="A2:K2"/>
    <mergeCell ref="A3:K3"/>
    <mergeCell ref="A4:K4"/>
    <mergeCell ref="A5:K5"/>
    <mergeCell ref="A7:M7"/>
    <mergeCell ref="E8:F8"/>
  </mergeCells>
  <pageMargins left="0.19685039370078741" right="0.19685039370078741" top="0.98425196850393704" bottom="0.98425196850393704" header="0.51181102362204722" footer="0.51181102362204722"/>
  <pageSetup paperSize="9" scale="41" fitToHeight="2" orientation="landscape" verticalDpi="300" r:id="rId1"/>
  <headerFooter alignWithMargins="0"/>
  <rowBreaks count="1" manualBreakCount="1">
    <brk id="4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</vt:lpstr>
      <vt:lpstr>RIEPILOGO!Area_stampa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2021-06-27T03:46:10Z</dcterms:created>
  <dcterms:modified xsi:type="dcterms:W3CDTF">2021-06-27T03:46:32Z</dcterms:modified>
</cp:coreProperties>
</file>